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585" yWindow="-15" windowWidth="12630" windowHeight="12405"/>
  </bookViews>
  <sheets>
    <sheet name="Portada" sheetId="1" r:id="rId1"/>
    <sheet name="6 E011" sheetId="2" r:id="rId2"/>
    <sheet name="6 E032" sheetId="3" r:id="rId3"/>
    <sheet name="6 F001" sheetId="4" r:id="rId4"/>
    <sheet name="6 F006" sheetId="5" r:id="rId5"/>
    <sheet name="6 S001" sheetId="6" r:id="rId6"/>
    <sheet name="6 S172" sheetId="7" r:id="rId7"/>
    <sheet name="6 S179" sheetId="8" r:id="rId8"/>
    <sheet name="6 S181" sheetId="9" r:id="rId9"/>
    <sheet name="6 S182" sheetId="10" r:id="rId10"/>
    <sheet name="6 S183" sheetId="11" r:id="rId11"/>
    <sheet name="6 S185" sheetId="12" r:id="rId12"/>
    <sheet name="6 S199" sheetId="13" r:id="rId13"/>
    <sheet name="6 S239" sheetId="14" r:id="rId14"/>
  </sheets>
  <definedNames>
    <definedName name="_xlnm.Print_Area" localSheetId="1">'6 E011'!$B$1:$U$47</definedName>
    <definedName name="_xlnm.Print_Area" localSheetId="2">'6 E032'!$B$1:$U$57</definedName>
    <definedName name="_xlnm.Print_Area" localSheetId="3">'6 F001'!$B$1:$U$33</definedName>
    <definedName name="_xlnm.Print_Area" localSheetId="4">'6 F006'!$B$1:$U$51</definedName>
    <definedName name="_xlnm.Print_Area" localSheetId="5">'6 S001'!$B$1:$U$41</definedName>
    <definedName name="_xlnm.Print_Area" localSheetId="6">'6 S172'!$B$1:$U$55</definedName>
    <definedName name="_xlnm.Print_Area" localSheetId="7">'6 S179'!$B$1:$U$59</definedName>
    <definedName name="_xlnm.Print_Area" localSheetId="8">'6 S181'!$B$1:$U$35</definedName>
    <definedName name="_xlnm.Print_Area" localSheetId="9">'6 S182'!$B$1:$U$37</definedName>
    <definedName name="_xlnm.Print_Area" localSheetId="10">'6 S183'!$B$1:$U$39</definedName>
    <definedName name="_xlnm.Print_Area" localSheetId="11">'6 S185'!$B$1:$U$39</definedName>
    <definedName name="_xlnm.Print_Area" localSheetId="12">'6 S199'!$B$1:$U$29</definedName>
    <definedName name="_xlnm.Print_Area" localSheetId="13">'6 S239'!$B$1:$U$55</definedName>
    <definedName name="_xlnm.Print_Area" localSheetId="0">Portada!$B$1:$AD$86</definedName>
    <definedName name="_xlnm.Print_Titles" localSheetId="1">'6 E011'!$1:$4</definedName>
    <definedName name="_xlnm.Print_Titles" localSheetId="2">'6 E032'!$1:$4</definedName>
    <definedName name="_xlnm.Print_Titles" localSheetId="3">'6 F001'!$1:$4</definedName>
    <definedName name="_xlnm.Print_Titles" localSheetId="4">'6 F006'!$1:$4</definedName>
    <definedName name="_xlnm.Print_Titles" localSheetId="5">'6 S001'!$1:$4</definedName>
    <definedName name="_xlnm.Print_Titles" localSheetId="6">'6 S172'!$1:$4</definedName>
    <definedName name="_xlnm.Print_Titles" localSheetId="7">'6 S179'!$1:$4</definedName>
    <definedName name="_xlnm.Print_Titles" localSheetId="8">'6 S181'!$1:$4</definedName>
    <definedName name="_xlnm.Print_Titles" localSheetId="9">'6 S182'!$1:$4</definedName>
    <definedName name="_xlnm.Print_Titles" localSheetId="10">'6 S183'!$1:$4</definedName>
    <definedName name="_xlnm.Print_Titles" localSheetId="11">'6 S185'!$1:$4</definedName>
    <definedName name="_xlnm.Print_Titles" localSheetId="12">'6 S199'!$1:$4</definedName>
    <definedName name="_xlnm.Print_Titles" localSheetId="13">'6 S239'!$1:$4</definedName>
    <definedName name="_xlnm.Print_Titles" localSheetId="0">Portada!$1:$4</definedName>
  </definedNames>
  <calcPr calcId="145621"/>
</workbook>
</file>

<file path=xl/calcChain.xml><?xml version="1.0" encoding="utf-8"?>
<calcChain xmlns="http://schemas.openxmlformats.org/spreadsheetml/2006/main">
  <c r="U33" i="8" l="1"/>
  <c r="U32" i="14" l="1"/>
  <c r="U31" i="14"/>
  <c r="U27" i="14"/>
  <c r="U26" i="14"/>
  <c r="U25" i="14"/>
  <c r="U24" i="14"/>
  <c r="U23" i="14"/>
  <c r="U22" i="14"/>
  <c r="U21" i="14"/>
  <c r="U20" i="14"/>
  <c r="U19" i="14"/>
  <c r="U18" i="14"/>
  <c r="U17" i="14"/>
  <c r="U16" i="14"/>
  <c r="U15" i="14"/>
  <c r="U14" i="14"/>
  <c r="U13" i="14"/>
  <c r="U12" i="14"/>
  <c r="U11" i="14"/>
  <c r="U19" i="13"/>
  <c r="U18" i="13"/>
  <c r="U14" i="13"/>
  <c r="U13" i="13"/>
  <c r="U12" i="13"/>
  <c r="U11" i="13"/>
  <c r="U24" i="12"/>
  <c r="U23" i="12"/>
  <c r="U19" i="12"/>
  <c r="U18" i="12"/>
  <c r="U17" i="12"/>
  <c r="U16" i="12"/>
  <c r="U15" i="12"/>
  <c r="U14" i="12"/>
  <c r="U13" i="12"/>
  <c r="U12" i="12"/>
  <c r="U11" i="12"/>
  <c r="U24" i="11"/>
  <c r="U23" i="11"/>
  <c r="U19" i="11"/>
  <c r="U18" i="11"/>
  <c r="U17" i="11"/>
  <c r="U16" i="11"/>
  <c r="U15" i="11"/>
  <c r="U14" i="11"/>
  <c r="U13" i="11"/>
  <c r="U12" i="11"/>
  <c r="U11" i="11"/>
  <c r="U23" i="10"/>
  <c r="U22" i="10"/>
  <c r="U18" i="10"/>
  <c r="U17" i="10"/>
  <c r="U16" i="10"/>
  <c r="U15" i="10"/>
  <c r="U14" i="10"/>
  <c r="U13" i="10"/>
  <c r="U12" i="10"/>
  <c r="U11" i="10"/>
  <c r="U22" i="9"/>
  <c r="U21" i="9"/>
  <c r="U17" i="9"/>
  <c r="U16" i="9"/>
  <c r="U15" i="9"/>
  <c r="U14" i="9"/>
  <c r="U13" i="9"/>
  <c r="U12" i="9"/>
  <c r="U11" i="9"/>
  <c r="U34" i="8"/>
  <c r="U29" i="8"/>
  <c r="U28" i="8"/>
  <c r="U27" i="8"/>
  <c r="U26" i="8"/>
  <c r="U25" i="8"/>
  <c r="U24" i="8"/>
  <c r="U23" i="8"/>
  <c r="U22" i="8"/>
  <c r="U21" i="8"/>
  <c r="U20" i="8"/>
  <c r="U19" i="8"/>
  <c r="U18" i="8"/>
  <c r="U17" i="8"/>
  <c r="U16" i="8"/>
  <c r="U15" i="8"/>
  <c r="U14" i="8"/>
  <c r="U13" i="8"/>
  <c r="U12" i="8"/>
  <c r="U11" i="8"/>
  <c r="U32" i="7"/>
  <c r="U31" i="7"/>
  <c r="U27" i="7"/>
  <c r="U26" i="7"/>
  <c r="U25" i="7"/>
  <c r="U23" i="7"/>
  <c r="U22" i="7"/>
  <c r="U21" i="7"/>
  <c r="U19" i="7"/>
  <c r="U18" i="7"/>
  <c r="U17" i="7"/>
  <c r="U16" i="7"/>
  <c r="U15" i="7"/>
  <c r="U14" i="7"/>
  <c r="U13" i="7"/>
  <c r="U12" i="7"/>
  <c r="U11" i="7"/>
  <c r="U25" i="6"/>
  <c r="U24" i="6"/>
  <c r="U20" i="6"/>
  <c r="U19" i="6"/>
  <c r="U18" i="6"/>
  <c r="U17" i="6"/>
  <c r="U16" i="6"/>
  <c r="U15" i="6"/>
  <c r="U14" i="6"/>
  <c r="U13" i="6"/>
  <c r="U12" i="6"/>
  <c r="U11" i="6"/>
  <c r="U30" i="5"/>
  <c r="U29" i="5"/>
  <c r="U25" i="5"/>
  <c r="U24" i="5"/>
  <c r="U23" i="5"/>
  <c r="U22" i="5"/>
  <c r="U21" i="5"/>
  <c r="U20" i="5"/>
  <c r="U19" i="5"/>
  <c r="U18" i="5"/>
  <c r="U17" i="5"/>
  <c r="U16" i="5"/>
  <c r="U15" i="5"/>
  <c r="U14" i="5"/>
  <c r="U13" i="5"/>
  <c r="U12" i="5"/>
  <c r="U11" i="5"/>
  <c r="U21" i="4"/>
  <c r="U20" i="4"/>
  <c r="U16" i="4"/>
  <c r="U15" i="4"/>
  <c r="U14" i="4"/>
  <c r="U13" i="4"/>
  <c r="U12" i="4"/>
  <c r="U11" i="4"/>
  <c r="U33" i="3"/>
  <c r="U32" i="3"/>
  <c r="U28" i="3"/>
  <c r="U27" i="3"/>
  <c r="U26" i="3"/>
  <c r="U25" i="3"/>
  <c r="U24" i="3"/>
  <c r="U23" i="3"/>
  <c r="U22" i="3"/>
  <c r="U21" i="3"/>
  <c r="U20" i="3"/>
  <c r="U19" i="3"/>
  <c r="U18" i="3"/>
  <c r="U17" i="3"/>
  <c r="U16" i="3"/>
  <c r="U15" i="3"/>
  <c r="U14" i="3"/>
  <c r="U13" i="3"/>
  <c r="U12" i="3"/>
  <c r="U11" i="3"/>
  <c r="U28" i="2"/>
  <c r="U27" i="2"/>
  <c r="U23" i="2"/>
  <c r="U22" i="2"/>
  <c r="U21" i="2"/>
  <c r="U20" i="2"/>
  <c r="U19" i="2"/>
  <c r="U18" i="2"/>
  <c r="U17" i="2"/>
  <c r="U16" i="2"/>
  <c r="U15" i="2"/>
  <c r="U14" i="2"/>
  <c r="U13" i="2"/>
  <c r="U12" i="2"/>
  <c r="U11" i="2"/>
</calcChain>
</file>

<file path=xl/sharedStrings.xml><?xml version="1.0" encoding="utf-8"?>
<sst xmlns="http://schemas.openxmlformats.org/spreadsheetml/2006/main" count="1696" uniqueCount="707">
  <si>
    <t>Avance en los Indicadores de los Programas presupuestarios de la Administración Pública Federal</t>
  </si>
  <si>
    <t xml:space="preserve">    Ejercicio Fiscal 2013</t>
  </si>
  <si>
    <t>Ramo 06
Hacienda y Crédito Público</t>
  </si>
  <si>
    <t>Programas presupuestarios cuya MIR se incluye en el reporte</t>
  </si>
  <si>
    <t xml:space="preserve">E-011 Protección y Defensa de los Usuarios de Servicios Financieros
E-032 Administración y enajenación de los activos referidos en la Ley Federal para la Administración y Enajenación de Bienes del Sector Público
F-001 Programa de Garantías Liquidas
F-006 Productos y Servicios para Fortalecer el Sector y Fomentar la Inclusión Financiera
S-001 Programa de Subsidio a la Prima del Seguro Agropecuario
S-172 Programa de Apoyo a los Fondos de Aseguramiento Agropecuario
S-179 Programa de Infraestructura Básica para la Atención de los Pueblos Indígenas (PIBAI)
S-181 Programa Organización Productiva para Mujeres Indígenas (POPMI)
S-182 Programa Promoción de Convenios en Materia de Justicia (PPCMJ)
S-183 Programa de Fomento y Desarrollo de las Culturas Indígenas (PFDCI)
S-185 Programa de Coordinación para el Apoyo a la Producción Indígena (PROCAPI)
S-199 Programa de Seguro para Contingencias Climatológicas
S-239 Acciones para la igualdad de género con población indígena
</t>
  </si>
  <si>
    <t>DATOS DEL PROGRAMA</t>
  </si>
  <si>
    <t>Programa presupuestario</t>
  </si>
  <si>
    <t>E011</t>
  </si>
  <si>
    <t>Protección y Defensa de los Usuarios de Servicios Financieros</t>
  </si>
  <si>
    <t>Ramo</t>
  </si>
  <si>
    <t>6</t>
  </si>
  <si>
    <t>Hacienda y Crédito Público</t>
  </si>
  <si>
    <t>Unidad responsable</t>
  </si>
  <si>
    <t>G3A-Comisión Nacional para la Protección y Defensa de los Usuarios de Servicios Financieros</t>
  </si>
  <si>
    <t>Enfoques transversales</t>
  </si>
  <si>
    <t>Clasificación Funcional</t>
  </si>
  <si>
    <t>Finalidad</t>
  </si>
  <si>
    <t>1 - Gobierno</t>
  </si>
  <si>
    <t>Función</t>
  </si>
  <si>
    <t>5 - Asuntos Financieros y Hacendarios</t>
  </si>
  <si>
    <t>Subfunción</t>
  </si>
  <si>
    <t>1 - Asuntos Financieros</t>
  </si>
  <si>
    <t>Actividad Institucional</t>
  </si>
  <si>
    <t>7 - Sistema financiero competitivo, eficiente y con mayor cobertura</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</si>
  <si>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</si>
  <si>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</si>
  <si>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</si>
  <si>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</si>
  <si>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</si>
  <si>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</si>
  <si>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</si>
  <si>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</si>
  <si>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</si>
  <si>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</si>
  <si>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</si>
  <si>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</si>
  <si>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</si>
  <si>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</si>
  <si>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</si>
  <si>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al crecimiento económico del país mediante el desarrollo de la cultura financiera y la protección al consumidor.</t>
  </si>
  <si>
    <r>
      <t xml:space="preserve">Porcentaje de la población adulta usuaria de servicios bancarios. </t>
    </r>
    <r>
      <rPr>
        <i/>
        <sz val="10"/>
        <color indexed="30"/>
        <rFont val="Soberana Sans"/>
        <family val="3"/>
      </rPr>
      <t xml:space="preserve">
</t>
    </r>
  </si>
  <si>
    <t>(Total de adultos usuario de servicios bancarios / Total de población adulta)*100</t>
  </si>
  <si>
    <t>Porcentaje</t>
  </si>
  <si>
    <t>Estratégico-Eficacia-Anual</t>
  </si>
  <si>
    <t>Propósito</t>
  </si>
  <si>
    <t>Los usuarios de servicios financieros establecen relaciones equitativas en sus operaciones financieras.</t>
  </si>
  <si>
    <r>
      <t>Porcentaje de controversias favorables</t>
    </r>
    <r>
      <rPr>
        <i/>
        <sz val="10"/>
        <color indexed="30"/>
        <rFont val="Soberana Sans"/>
        <family val="3"/>
      </rPr>
      <t xml:space="preserve">
</t>
    </r>
  </si>
  <si>
    <t>(Número de controversias favorables a usuarios atendidos/ Número total de controversias de usuarios atendidos) * 100</t>
  </si>
  <si>
    <t>Estratégico-Eficacia-Semestral</t>
  </si>
  <si>
    <t>Componente</t>
  </si>
  <si>
    <t>A Derechos e intereses de los usuarios de servicios financieros protegidos y defendidos.</t>
  </si>
  <si>
    <r>
      <t>Porcentaje de casos atendidos directamente</t>
    </r>
    <r>
      <rPr>
        <i/>
        <sz val="10"/>
        <color indexed="30"/>
        <rFont val="Soberana Sans"/>
        <family val="3"/>
      </rPr>
      <t xml:space="preserve">
</t>
    </r>
  </si>
  <si>
    <t>(Número de casos atendidos directamente / Número total de casos registrados)*100</t>
  </si>
  <si>
    <t>Gestión-Eficacia-Semestral</t>
  </si>
  <si>
    <t/>
  </si>
  <si>
    <t>B Evaluaciónes de entidades financieras realizadas.</t>
  </si>
  <si>
    <r>
      <t>Porcentaje de instituciones financieras evaluadas satisfactoriamente</t>
    </r>
    <r>
      <rPr>
        <i/>
        <sz val="10"/>
        <color indexed="30"/>
        <rFont val="Soberana Sans"/>
        <family val="3"/>
      </rPr>
      <t xml:space="preserve">
</t>
    </r>
  </si>
  <si>
    <t>(Número de instituciones financieras evaluadas satisfactoriamente / Número total de instituciones financieras evaluadas)*100</t>
  </si>
  <si>
    <t>Gestión-Eficiencia-Semestral</t>
  </si>
  <si>
    <t>C Servicios Educativos Financieros (promoción y difusión) proporcionados a los usuarios de servicios financieros en México</t>
  </si>
  <si>
    <r>
      <t>Porcentaje de aprobación por aplicación de encuestas en la Semana Nacional de Educación Financiera.</t>
    </r>
    <r>
      <rPr>
        <i/>
        <sz val="10"/>
        <color indexed="30"/>
        <rFont val="Soberana Sans"/>
        <family val="3"/>
      </rPr>
      <t xml:space="preserve">
</t>
    </r>
  </si>
  <si>
    <t>(Número de usuarios encuestados que califican satisfactoriamente la semana de la cultura financiera/ Número de usuarios encuestados)*100</t>
  </si>
  <si>
    <t>Gestión-Calidad-Anual</t>
  </si>
  <si>
    <t>Actividad</t>
  </si>
  <si>
    <t>A 1 Emisión de dictámenes técnicos.</t>
  </si>
  <si>
    <r>
      <t>Porcentaje de emisión de opiniones favorables conforme a una valoración técnico-jurídico</t>
    </r>
    <r>
      <rPr>
        <i/>
        <sz val="10"/>
        <color indexed="30"/>
        <rFont val="Soberana Sans"/>
        <family val="3"/>
      </rPr>
      <t xml:space="preserve">
</t>
    </r>
  </si>
  <si>
    <t>(Número de solicitudes de dictamenes técnicos favorables/ Número de solicitudes de dictamen recibidas)*100</t>
  </si>
  <si>
    <t>Gestión-Eficacia-Mensual</t>
  </si>
  <si>
    <t>A 2 Otorgamiento de defensoría legal.</t>
  </si>
  <si>
    <r>
      <t>Porcentaje de otorgamiento de defensoría y orientación legal atendiendo los juicios de los usuarios.</t>
    </r>
    <r>
      <rPr>
        <i/>
        <sz val="10"/>
        <color indexed="30"/>
        <rFont val="Soberana Sans"/>
        <family val="3"/>
      </rPr>
      <t xml:space="preserve">
Indicador Seleccionado</t>
    </r>
  </si>
  <si>
    <t>(Número de defensorías legales realizadas / Número total de procedimientos de defensoría legal gratuita)*100</t>
  </si>
  <si>
    <t>A 3 Otorgamiento de asistencias técnicas y jurídicas.</t>
  </si>
  <si>
    <r>
      <t>Porcentaje de asesoramiento técnico-jurídico a los usuarios de servicios financieros.</t>
    </r>
    <r>
      <rPr>
        <i/>
        <sz val="10"/>
        <color indexed="30"/>
        <rFont val="Soberana Sans"/>
        <family val="3"/>
      </rPr>
      <t xml:space="preserve">
</t>
    </r>
  </si>
  <si>
    <t>(Número de asistencias técnicas y jurídicas realizadas/ Número total de casos atendidos)*100</t>
  </si>
  <si>
    <t>Gestión-Eficacia-Trimestral</t>
  </si>
  <si>
    <t>A 4 Procedimiento de juicios arbitrales.</t>
  </si>
  <si>
    <r>
      <t>Porcentaje de resolución de juicios arbitrales mediante una opinión en estricto derecho</t>
    </r>
    <r>
      <rPr>
        <i/>
        <sz val="10"/>
        <color indexed="30"/>
        <rFont val="Soberana Sans"/>
        <family val="3"/>
      </rPr>
      <t xml:space="preserve">
</t>
    </r>
  </si>
  <si>
    <t>(Número de juicios arbitrales emitidos/Total de juicios arbitrales en tramite)*100</t>
  </si>
  <si>
    <t>A 5 Gestión de procedimientos conciliatorios</t>
  </si>
  <si>
    <r>
      <t>Porcentaje de procedimientos conciliados para resolver reclamaciones formuladas por Usuarios.</t>
    </r>
    <r>
      <rPr>
        <i/>
        <sz val="10"/>
        <color indexed="30"/>
        <rFont val="Soberana Sans"/>
        <family val="3"/>
      </rPr>
      <t xml:space="preserve">
</t>
    </r>
  </si>
  <si>
    <t>(Número de procedimientos conciliados/ Número de procedimientos conciliatorios realizados)*100</t>
  </si>
  <si>
    <t>B 6 Revisión de documentación para evaluación de acuerdo a normatividad.</t>
  </si>
  <si>
    <r>
      <t>Porcentaje de documentos evaluados con calificación de satisfactoria</t>
    </r>
    <r>
      <rPr>
        <i/>
        <sz val="10"/>
        <color indexed="30"/>
        <rFont val="Soberana Sans"/>
        <family val="3"/>
      </rPr>
      <t xml:space="preserve">
</t>
    </r>
  </si>
  <si>
    <t>(Número de documentos evaluados con calificación satisfactoria/ Número total de documentos evaluados )*100</t>
  </si>
  <si>
    <t>Gestión-Eficiencia-Trimestral</t>
  </si>
  <si>
    <t>C 7 Impartición de diplomado de cultura financiera a distancia.</t>
  </si>
  <si>
    <r>
      <t>Porcentaje de alumnos aprobados al diplomado.</t>
    </r>
    <r>
      <rPr>
        <i/>
        <sz val="10"/>
        <color indexed="30"/>
        <rFont val="Soberana Sans"/>
        <family val="3"/>
      </rPr>
      <t xml:space="preserve">
</t>
    </r>
  </si>
  <si>
    <t>(Número de alumnos aprobados en el diplomado/Número de alumnos que presentaron examen final)*100</t>
  </si>
  <si>
    <t>Gestión-Calidad-Semestral</t>
  </si>
  <si>
    <t>C 8 Realización de la semana nacional de educación financiera.</t>
  </si>
  <si>
    <r>
      <t>Porcentaje de personas que recibieron los mensajes durante la semana nacional de educación financiera.</t>
    </r>
    <r>
      <rPr>
        <i/>
        <sz val="10"/>
        <color indexed="30"/>
        <rFont val="Soberana Sans"/>
        <family val="3"/>
      </rPr>
      <t xml:space="preserve">
</t>
    </r>
  </si>
  <si>
    <t xml:space="preserve">(Número de personas que recibieron mensajes relacionados con la SNEF / Número de personas programadas a recibir mensajes relacionados con la SNEF)*100 </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</si>
  <si>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</si>
  <si>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</si>
  <si>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</si>
  <si>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</si>
  <si>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</si>
  <si>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</si>
  <si>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</si>
  <si>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</si>
  <si>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</si>
  <si>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la población adulta usuaria de servicios bancarios. 
</t>
    </r>
    <r>
      <rPr>
        <sz val="10"/>
        <rFont val="Soberana Sans"/>
        <family val="2"/>
      </rPr>
      <t xml:space="preserve"> Causa : De acuerdo con la información obtenida mediante la Encuesta Nacional de Inclusión Financiera el 56.83 por ciento del de la Población adulta del país tiene al menos un producto con el sistema financiero formal ya sea una cuenta de ahorro, o de nómina, ahorro, cheques, etc.    La encuesta y los análisis fueron realizados por el Instituto Nacional de Estadística y Geografía (INEGI), con la colaboración de la Comisión Nacional Bancaria y de Valores.     Efecto:  Otros Motivos:</t>
    </r>
  </si>
  <si>
    <r>
      <t xml:space="preserve">Porcentaje de controversias favorables
</t>
    </r>
    <r>
      <rPr>
        <sz val="10"/>
        <rFont val="Soberana Sans"/>
        <family val="2"/>
      </rPr>
      <t xml:space="preserve"> Causa : Las controversias son inconformidades o reclamaciones presentadas por el Usuario ante una Institución Financiera y en donde se gestiona el asunto para encontrar una solución rápida, vía Gestión Ordinaria o Gestión Electrónica, en esta etapa se trata de convenir los intereses de ambas partes utilizando las gestiones.      Sin embargo no todas las gestiones son a favor del Usuario de Servicios Financieros por lo cual marca una tendencia menor a la favorable que se tenía programada esto se debe a que las Instituciones Financieras cuentan con una variedad de productos y servicios financieros. Al igual que los Ususarios son los responsables de interponer su queja antes la CONDUSEF o la Instancia correspondiente.       Efecto:  Otros Motivos:</t>
    </r>
  </si>
  <si>
    <r>
      <t xml:space="preserve">Porcentaje de casos atendidos directamente
</t>
    </r>
    <r>
      <rPr>
        <sz val="10"/>
        <rFont val="Soberana Sans"/>
        <family val="2"/>
      </rPr>
      <t xml:space="preserve"> Causa : Se incrementaron el numero de casos atendidos por parte de CONDUSEF en las delegaciones derivado de los diferente productos y servicios financieros que presta las Instituciones Financieras. Efecto:  Otros Motivos:</t>
    </r>
  </si>
  <si>
    <r>
      <t xml:space="preserve">Porcentaje de instituciones financieras evaluadas satisfactoriamente
</t>
    </r>
    <r>
      <rPr>
        <sz val="10"/>
        <rFont val="Soberana Sans"/>
        <family val="2"/>
      </rPr>
      <t xml:space="preserve"> Causa : Al registrar la meta aprobada no se contaba aun con los datos definitivos del Indicador sin embargo se presenta una tendencia mayor a la meta modificada derivado que se evaluarón mas Instituciones Financieras de las programadas, de igual forma se evaluaron positivamente un mayor número de las Instituciones programadas de las evaluadas verificando el cumplimiento de la normatividad   Efecto:  Otros Motivos:</t>
    </r>
  </si>
  <si>
    <r>
      <t xml:space="preserve">Porcentaje de aprobación por aplicación de encuestas en la Semana Nacional de Educación Financiera.
</t>
    </r>
    <r>
      <rPr>
        <sz val="10"/>
        <rFont val="Soberana Sans"/>
        <family val="2"/>
      </rPr>
      <t xml:space="preserve"> Causa : Para este indicador se realizaron mas encuestas de las que se tenian programadas, esto se debe principalmente a la demanda que tuvo la Semana Nacional de Educación Financiera a nivel Nacional.   a traves de las diferentes actividades que se realizan durante la duracion de la misma, esto incremento el numero de personas encuestadas así como las que dan una respuesta positiva.   El 94 porciento de la gente encuestada percibio como buen o excelente la organizacion del evento, que la infromacion fue buena durante el evento. Efecto:  Otros Motivos:</t>
    </r>
  </si>
  <si>
    <r>
      <t xml:space="preserve">Porcentaje de emisión de opiniones favorables conforme a una valoración técnico-jurídico
</t>
    </r>
    <r>
      <rPr>
        <sz val="10"/>
        <rFont val="Soberana Sans"/>
        <family val="2"/>
      </rPr>
      <t xml:space="preserve"> Causa : La CONDUSEF recibio y emitio mas solicitudes de dictamen de lo que tenia programado, la cual consiste en una opinion especializada de acuerdo a una valoracion tecnico-juridica del asunto.   Derivado de los diferentes servicios y productos que ofrecen las diferentes Instituciones Financieras, a aumentado las solicitudes de dictamen.  Efecto:  Otros Motivos:</t>
    </r>
  </si>
  <si>
    <r>
      <t xml:space="preserve">Porcentaje de otorgamiento de defensoría y orientación legal atendiendo los juicios de los usuarios.
</t>
    </r>
    <r>
      <rPr>
        <sz val="10"/>
        <rFont val="Soberana Sans"/>
        <family val="2"/>
      </rPr>
      <t xml:space="preserve"> Causa : El crecimiento que representa este avance del  indicador obedece fundamentalmente a la implementación de nuevas acciones jurisdiccionales que han permitido el otorgamiento del servicio de defensoría legal gratuita a un mayor número de usuarios, logrando a la fecha que de los casos concluidos el 83.4 por ciento han resultado favorables a los usuarios que presentan sus demandas. Efecto:  Otros Motivos:</t>
    </r>
  </si>
  <si>
    <r>
      <t xml:space="preserve">Porcentaje de asesoramiento técnico-jurídico a los usuarios de servicios financieros.
</t>
    </r>
    <r>
      <rPr>
        <sz val="10"/>
        <rFont val="Soberana Sans"/>
        <family val="2"/>
      </rPr>
      <t xml:space="preserve"> Causa : El incremento al porcentaje de cumplimiento se debe a que se han solicitado ante CONDUSEF mas asesorías y orientaciones sobre productos financieros.   El incremento obedece a que surgen nuevos productos o servicios financieros y le surgen dudas sobre estos, por lo cual se le ayuda al usuario a resolver sus dudas y a entender el tipo de producto o servicio adquirido, así como sus características y/o operación.    Efecto:  Otros Motivos:</t>
    </r>
  </si>
  <si>
    <r>
      <t xml:space="preserve">Porcentaje de resolución de juicios arbitrales mediante una opinión en estricto derecho
</t>
    </r>
    <r>
      <rPr>
        <sz val="10"/>
        <rFont val="Soberana Sans"/>
        <family val="2"/>
      </rPr>
      <t xml:space="preserve"> Causa : Se resolvieron a lo largo del ejercicio un total de 3 juicios arbitrales, esto derivado que se resolvieron las controversias que se tenían entre los Usuarios de Servicios Financieros y las Instituciones Financieras, donde ambas partes muestran sus argumentos  y un árbitro valora y resuelve. Otorgando la razón a quien la tenga. Efecto:  Otros Motivos:</t>
    </r>
  </si>
  <si>
    <r>
      <t xml:space="preserve">Porcentaje de procedimientos conciliados para resolver reclamaciones formuladas por Usuarios.
</t>
    </r>
    <r>
      <rPr>
        <sz val="10"/>
        <rFont val="Soberana Sans"/>
        <family val="2"/>
      </rPr>
      <t xml:space="preserve"> Causa : En la meta alcanzada/aprobada se tiene un 73.84 por ciento esto es derivado que cuando se registró la meta aprobada aún no se contaban con cifras programadas.    Sin embargo se presentaron más conciliaciones formalmente de la meta modificada, esto se debe porque los Usuarios de Servicios Financieros presentaron formalmente ante alguna Institución una reclamación.    Efecto:  Otros Motivos:</t>
    </r>
  </si>
  <si>
    <r>
      <t xml:space="preserve">Porcentaje de documentos evaluados con calificación de satisfactoria
</t>
    </r>
    <r>
      <rPr>
        <sz val="10"/>
        <rFont val="Soberana Sans"/>
        <family val="2"/>
      </rPr>
      <t xml:space="preserve"> Causa : Se evaluaron más documento de los que se tenían programados para verificar el cumplimiento de las Instituciones Financieras a las disposiciones y ordenamiento de la autoridad, analizando la documentación, para dar mejor información a los Usuarios. Se analizó la información para una mejor toma de decisiones de los Usuarios. Efecto:  Otros Motivos:</t>
    </r>
  </si>
  <si>
    <r>
      <t xml:space="preserve">Porcentaje de alumnos aprobados al diplomado.
</t>
    </r>
    <r>
      <rPr>
        <sz val="10"/>
        <rFont val="Soberana Sans"/>
        <family val="2"/>
      </rPr>
      <t xml:space="preserve"> Causa :  Para el cumplimiento del porcentaje de la meta este indicador muestra un 57 por ciento, esto se debe a que este se refiere a que CONDUSEF convoca al público en general en el transcurso de año a cursar el Diplomado en Educación Financiera a distancia el cual no tiene algún costo para el público.   Este diplomado ayuda al conocimiento del público sobre temas en materia financiera. Se programó un número de personas que se inscribieron de las cuales rebaso el porcentaje que se tenía contemplado esto por la demanda que causa ante la ciudadanía.   Por tal motivo se tuvo un mayor número de personas inscritas.    Efecto:  Otros Motivos:</t>
    </r>
  </si>
  <si>
    <r>
      <t xml:space="preserve">Porcentaje de personas que recibieron los mensajes durante la semana nacional de educación financiera.
</t>
    </r>
    <r>
      <rPr>
        <sz val="10"/>
        <rFont val="Soberana Sans"/>
        <family val="2"/>
      </rPr>
      <t xml:space="preserve"> Causa : Derivado de la Semana Nacional de Educación Financiera, un mayor número de personas recibieron los mensajes relacionados con la Semana Nacional de los que se tenían programados, se logró difundir a la gente con diferentes estrategias de educación financieras, a través de las diferentes promotores de diversas Instituciones Públicas Y Privadas. Efecto:  Otros Motivos:</t>
    </r>
  </si>
  <si>
    <t>E032</t>
  </si>
  <si>
    <t>Administración y enajenación de los activos referidos en la Ley Federal para la Administración y Enajenación de Bienes del Sector Público</t>
  </si>
  <si>
    <t>HKA-Servicio de Administración y Enajenación de Bienes</t>
  </si>
  <si>
    <t>8 - Otros Servicios Generales</t>
  </si>
  <si>
    <t>5 - Otros</t>
  </si>
  <si>
    <t>14 - Administración y enajenación de activos referidos en la Ley Federal para la Administración y Enajenación de Bienes del Sector Público</t>
  </si>
  <si>
    <t>Contribuir al fortalecimiento de la Administración Pública Nacional mediante la administración y destino de Bienes y Empresas que han sido transferidos.</t>
  </si>
  <si>
    <r>
      <t>Indice de cumplimiento de destino de Bienes, Cartera y Empresas</t>
    </r>
    <r>
      <rPr>
        <i/>
        <sz val="10"/>
        <color indexed="30"/>
        <rFont val="Soberana Sans"/>
        <family val="3"/>
      </rPr>
      <t xml:space="preserve">
Indicador Seleccionado</t>
    </r>
  </si>
  <si>
    <t>Componente Destino de Bienes* 0.40 + Componente Atención de Empresas*0.40 + Componente Destino Créditos*0.20</t>
  </si>
  <si>
    <t>N/A</t>
  </si>
  <si>
    <t>Las dependencias y entidades de la Administración Pública tienen acceso a los servicios de administración y destino de Bienes y Empresas.</t>
  </si>
  <si>
    <r>
      <t>Porcentaje  de dependencias y entidades de la Administración Pública que califican como satisfactorios los servicios del SAE</t>
    </r>
    <r>
      <rPr>
        <i/>
        <sz val="10"/>
        <color indexed="30"/>
        <rFont val="Soberana Sans"/>
        <family val="3"/>
      </rPr>
      <t xml:space="preserve">
Indicador Seleccionado</t>
    </r>
  </si>
  <si>
    <t>(Número total de dependencias y entidades de la Administración Pública que califican como satisfactorios los servicios del SAE / Número total de dependencias y entidades de la Administración Pública que lograron utilizar los servicios del SAE en el periodo) * 100</t>
  </si>
  <si>
    <r>
      <t xml:space="preserve">Porcentaje  de dependencias y entidades de la Administración Pública que reciben informes de rendición de cuentas por los servicios del SAE  </t>
    </r>
    <r>
      <rPr>
        <i/>
        <sz val="10"/>
        <color indexed="30"/>
        <rFont val="Soberana Sans"/>
        <family val="3"/>
      </rPr>
      <t xml:space="preserve">
Indicador Seleccionado</t>
    </r>
  </si>
  <si>
    <t>(Número total de dependencias y entidades de la Administración Pública que reciben informes de rendición de cuentas por los servicios del SAE / Número total de dependencias y entidades de la Administración Pública que utilizan los servicios del SAE) * 100</t>
  </si>
  <si>
    <r>
      <t>Porcentaje  de apoyo al Sector Público en la administración y destino de bienes</t>
    </r>
    <r>
      <rPr>
        <i/>
        <sz val="10"/>
        <color indexed="30"/>
        <rFont val="Soberana Sans"/>
        <family val="3"/>
      </rPr>
      <t xml:space="preserve">
Indicador Seleccionado</t>
    </r>
  </si>
  <si>
    <t>(Número de dependencias y entidades de la Administración Pública que son atendidas por el SAE / Número de dependencias y entidades de la Administración Pública que han solicitado los servicios del SAE) * 100</t>
  </si>
  <si>
    <t>A Servicio proporcionado a las dependencias y entidades de la Administración Pública para dar destino a los bienes muebles e inmuebles.</t>
  </si>
  <si>
    <r>
      <t>Índice de destino de Bienes Muebles e Inmuebles</t>
    </r>
    <r>
      <rPr>
        <i/>
        <sz val="10"/>
        <color indexed="30"/>
        <rFont val="Soberana Sans"/>
        <family val="3"/>
      </rPr>
      <t xml:space="preserve">
</t>
    </r>
  </si>
  <si>
    <t>[Indicadores de Actividades de Venta de Bienes (Puesta en Venta de Bienes Muebles, Avance de Venta de Bienes Muebles, Exposición de Bienes Inmuebles al Mercado)* 0.70  + Indicador de Avance de Destrucción de Bienes *0.15 + Indicador de Avance de Otorgamiento de Donaciones de Bienes *0.15)</t>
  </si>
  <si>
    <t>Estratégico-Eficacia-Trimestral</t>
  </si>
  <si>
    <t>B Servicio proporcionado a las dependencias y entidades de la Administración Pública para dar destino a los créditos / activos financieros administrados por el SAE.</t>
  </si>
  <si>
    <r>
      <t>Componente Destino Créditos</t>
    </r>
    <r>
      <rPr>
        <i/>
        <sz val="10"/>
        <color indexed="30"/>
        <rFont val="Soberana Sans"/>
        <family val="3"/>
      </rPr>
      <t xml:space="preserve">
</t>
    </r>
  </si>
  <si>
    <t>(Desempeño de abogados externos*.50)+ (Recursos financieros en procesos legales*.50)</t>
  </si>
  <si>
    <t>C Servicio proporcionado a las dependencias y entidades de la Administración Pública para realizar la liquidación, administración y/o destino a las empresas puestas baja la administración del SAE.</t>
  </si>
  <si>
    <r>
      <t xml:space="preserve"> Índice de aplicación de herramientas de supervisión de las empresas en liquidación a cargo del SAE</t>
    </r>
    <r>
      <rPr>
        <i/>
        <sz val="10"/>
        <color indexed="30"/>
        <rFont val="Soberana Sans"/>
        <family val="3"/>
      </rPr>
      <t xml:space="preserve">
</t>
    </r>
  </si>
  <si>
    <t>(Tarjetas Estratégicas *0.25 + Rendición de cuentas de Empresas *0.25 + Empresas con seguimiento *0.25 + Planeación de Actividades * 0.25)</t>
  </si>
  <si>
    <t>A 1 Avance de Venta de Bienes Muebles</t>
  </si>
  <si>
    <r>
      <t>Avance de Venta de Bienes Muebles</t>
    </r>
    <r>
      <rPr>
        <i/>
        <sz val="10"/>
        <color indexed="30"/>
        <rFont val="Soberana Sans"/>
        <family val="3"/>
      </rPr>
      <t xml:space="preserve">
</t>
    </r>
  </si>
  <si>
    <t>(Número de Bienes Muebles vendidos / Número de Bienes Muebles ofertados)* 100</t>
  </si>
  <si>
    <t>A 2 Venta de bienes inmuebles bajo estrategias que logran despertar el interes de compradores potenciales.</t>
  </si>
  <si>
    <r>
      <t>Avance de Venta de Bienes Inmuebles</t>
    </r>
    <r>
      <rPr>
        <i/>
        <sz val="10"/>
        <color indexed="30"/>
        <rFont val="Soberana Sans"/>
        <family val="3"/>
      </rPr>
      <t xml:space="preserve">
</t>
    </r>
  </si>
  <si>
    <t>(Número de Bienes Inmuebles Vendidos/ Número de Bienes Inmuebles ofertados) * 100</t>
  </si>
  <si>
    <t>A 3 Medición del porcentaje de destrucción de bienes mubles para identificar si la destrucción está siendo consistente con la recepción que hace el SAE por parte de las dependencias y entidades de la Administración Pública</t>
  </si>
  <si>
    <r>
      <t>Avance de Destrucción de Bienes Muebles</t>
    </r>
    <r>
      <rPr>
        <i/>
        <sz val="10"/>
        <color indexed="30"/>
        <rFont val="Soberana Sans"/>
        <family val="3"/>
      </rPr>
      <t xml:space="preserve">
</t>
    </r>
  </si>
  <si>
    <t>(Número de Bienes Muebles destruidos / Número de Bienes Muebles autorizados para destrucción) * 100</t>
  </si>
  <si>
    <t>A 4 Medición de los bienes muebles que han sido integrados a un canal de venta para su comercialización.</t>
  </si>
  <si>
    <r>
      <t>Puesta en Venta de Bienes Muebles</t>
    </r>
    <r>
      <rPr>
        <i/>
        <sz val="10"/>
        <color indexed="30"/>
        <rFont val="Soberana Sans"/>
        <family val="3"/>
      </rPr>
      <t xml:space="preserve">
</t>
    </r>
  </si>
  <si>
    <t>(Promedio anual movil del número de Bienes Muebles ofertados / Promedio anual movil del número de Bienes Muebles disponibles para venta) * 100</t>
  </si>
  <si>
    <t>A 5 Selección de los bienes inmuebles suseptibles de venta.</t>
  </si>
  <si>
    <r>
      <t>Puesta en Venta de Bienes Inmuebles</t>
    </r>
    <r>
      <rPr>
        <i/>
        <sz val="10"/>
        <color indexed="30"/>
        <rFont val="Soberana Sans"/>
        <family val="3"/>
      </rPr>
      <t xml:space="preserve">
</t>
    </r>
  </si>
  <si>
    <t>(Promedio anual movil del número de Bienes Inmuebles ofertados / Promedio anual movil del número de Bienes Inmuebles disponibles para venta) * 100</t>
  </si>
  <si>
    <t>A 6 Otorgamiento de donaciones</t>
  </si>
  <si>
    <r>
      <t>Avance de Otorgamiento de donaciones de Bienes Muebles</t>
    </r>
    <r>
      <rPr>
        <i/>
        <sz val="10"/>
        <color indexed="30"/>
        <rFont val="Soberana Sans"/>
        <family val="3"/>
      </rPr>
      <t xml:space="preserve">
</t>
    </r>
  </si>
  <si>
    <t>(Número de Donaciones otorgadas / Número de Donaciones autorizadas) * 100</t>
  </si>
  <si>
    <t>B 7 Desempeño de abogados externos</t>
  </si>
  <si>
    <r>
      <t>Desempeño de abogados externos</t>
    </r>
    <r>
      <rPr>
        <i/>
        <sz val="10"/>
        <color indexed="30"/>
        <rFont val="Soberana Sans"/>
        <family val="3"/>
      </rPr>
      <t xml:space="preserve">
</t>
    </r>
  </si>
  <si>
    <t>(Asuntos concluidos con resolución favorable /Total de asuntos concluidos) * 100</t>
  </si>
  <si>
    <t>B 8 Evaluar el costo de la gestión jurídica llevada a cabo por los abogados externos de acuerdo al contrato de prestación de servicios, que generan ingresos a la Entidad, ya sea por la vía judicial o administrativa.</t>
  </si>
  <si>
    <r>
      <t>Recursos financieros en procesos legales</t>
    </r>
    <r>
      <rPr>
        <i/>
        <sz val="10"/>
        <color indexed="30"/>
        <rFont val="Soberana Sans"/>
        <family val="3"/>
      </rPr>
      <t xml:space="preserve">
</t>
    </r>
  </si>
  <si>
    <t>(Pago a abogados de cartera  externos por gastos de juicio y honorarios / Total de recuperación de asuntos demandados) * 100</t>
  </si>
  <si>
    <t>Gestión-Economía-Trimestral</t>
  </si>
  <si>
    <t>C 9 Aplicación de Herramientas de Supervisión y Control del Proceso de Empresas para definición de Tarjetas Estratégicas</t>
  </si>
  <si>
    <r>
      <t>Porcentaje de empresas que cuentan con tarjeta estratégica</t>
    </r>
    <r>
      <rPr>
        <i/>
        <sz val="10"/>
        <color indexed="30"/>
        <rFont val="Soberana Sans"/>
        <family val="3"/>
      </rPr>
      <t xml:space="preserve">
</t>
    </r>
  </si>
  <si>
    <t>[Tarjetas Estratégicas Definidas / Tarjetas Estratégicas Requeridas] * 100</t>
  </si>
  <si>
    <t>C 10 Aplicación de Herramientas de Supervisión y Control del Proceso de Empresas para el Seguimiento de Empresas</t>
  </si>
  <si>
    <r>
      <t>Porcentaje de empresas con seguimiento</t>
    </r>
    <r>
      <rPr>
        <i/>
        <sz val="10"/>
        <color indexed="30"/>
        <rFont val="Soberana Sans"/>
        <family val="3"/>
      </rPr>
      <t xml:space="preserve">
</t>
    </r>
  </si>
  <si>
    <t>[Reuniones de Seguimiento Realizadas / Reuniones de Seguimiento Requeridas] * 100</t>
  </si>
  <si>
    <t>C 11 Aplicación de Herramientas de Supervisión y Control del Proceso de Empresas para la Rendición de Cuentas</t>
  </si>
  <si>
    <r>
      <t>Porcentaje de rendición de cuentas de Empresas a cargo del SAE</t>
    </r>
    <r>
      <rPr>
        <i/>
        <sz val="10"/>
        <color indexed="30"/>
        <rFont val="Soberana Sans"/>
        <family val="3"/>
      </rPr>
      <t xml:space="preserve">
</t>
    </r>
  </si>
  <si>
    <t>[Informes emitidos / Informes requeridos] * 100</t>
  </si>
  <si>
    <r>
      <t xml:space="preserve">Indice de cumplimiento de destino de Bienes, Cartera y Empresas
</t>
    </r>
    <r>
      <rPr>
        <sz val="10"/>
        <rFont val="Soberana Sans"/>
        <family val="2"/>
      </rPr>
      <t xml:space="preserve"> Causa : Se ofertaron una gran cantidad de bienes muebles e inmuebles, pero no se concretó su venta. Efecto:  Otros Motivos:</t>
    </r>
  </si>
  <si>
    <r>
      <t xml:space="preserve">Porcentaje  de dependencias y entidades de la Administración Pública que califican como satisfactorios los servicios del SAE
</t>
    </r>
    <r>
      <rPr>
        <sz val="10"/>
        <rFont val="Soberana Sans"/>
        <family val="2"/>
      </rPr>
      <t xml:space="preserve"> Causa : El SAE  estableció para 2013 el indicador estratégico ¿Porcentaje de dependencias y entidades de la Administración Pública que califican como satisfactorios los servicios del SAE¿, que mide la percepción de las dependencias y entidades de la Administración Pública en relación al nivel de satisfacción que obtienen por utilizar los servicios de destino de bienes del SAE. La meta programada fue 35%; al cierre del año la meta alcanzada fue de 84.85%, lo que significó 424.24% la meta aprobada. Efecto:  Otros Motivos:En el Ejercicio 2013 se seleccionaron 50 Entidades Transferentes a efecto de evaluar el grado de satisfacción. La participación fue de 33 Entidades Transferentes un 66% del total y de éstas el 84.85% calificaron los servicios del SAE como satisfactorios.       </t>
    </r>
  </si>
  <si>
    <r>
      <t xml:space="preserve">Porcentaje  de dependencias y entidades de la Administración Pública que reciben informes de rendición de cuentas por los servicios del SAE  
</t>
    </r>
    <r>
      <rPr>
        <sz val="10"/>
        <rFont val="Soberana Sans"/>
        <family val="2"/>
      </rPr>
      <t xml:space="preserve"> Causa : Para 2013, el SAE estableció el indicador estratégico Porcentaje de dependencias y entidades de la Administración Pública que reciben informes de rendición de cuentas por los servicios del SAE, mediante el cual el SAE apoya con eficacia la rendición de cuentas institucional.  La meta programada fue 90%, otorgando al final del ejercicio 97.44,  lo que significó un porcentaje de cumplimiento de 108.26% lo que significó superar a la meta aprobada. Efecto:  Otros Motivos:Se realizaron 76 Informes de Rendición de Cuentas y entero de recursos en términos de lo que establece el artículo 89 de la Ley Federal para la Administración y Enajenación de Bienes del Sector Público.</t>
    </r>
  </si>
  <si>
    <r>
      <t xml:space="preserve">Porcentaje  de apoyo al Sector Público en la administración y destino de bienes
</t>
    </r>
    <r>
      <rPr>
        <sz val="10"/>
        <rFont val="Soberana Sans"/>
        <family val="2"/>
      </rPr>
      <t xml:space="preserve"> Causa : El SAE para 2013, estableció el indicador estratégico Porcentaje de apoyo al Sector Público en la administración y destino de bienes, que mide el grado de atención que el SAE da a las dependencias y entidades de la Administración Pública que han solicitado los servicios de administración y enajenación de bienes. Al cierre del año, se alcanzó una meta de 90.35 ya que se atendió a 103 de 114 entidades transferentes, lo que significó un porcentaje de cumplimiento de 100.39% lo que significó superar a la meta aprobada. Efecto:  Otros Motivos:En términos de lo que establece el artículo 89 de la Ley Federal para la Administración y Enajenación de Bienes del Sector Público, se ejecutaron los siguientes servicios: Formalización de Convenios de colaboración, Atención a solicitudes de transferencia y Rendición de cuentas y entero de recursos de los bienes transferidos.     </t>
    </r>
  </si>
  <si>
    <r>
      <t xml:space="preserve">Índice de destino de Bienes Muebles e Inmuebles
</t>
    </r>
    <r>
      <rPr>
        <sz val="10"/>
        <rFont val="Soberana Sans"/>
        <family val="2"/>
      </rPr>
      <t xml:space="preserve"> Causa : Cabe señalar que en su momento no se realizó la carga inicial de la meta para el presupuesto original, así mismo, la meta establecida por el Organismo es de 90%. Al cierre del ejercicio 2013 se obtuvo un porcentaje de cumplimiento de 70.42%. Las principales causas de este indicador son las siguientes: la disminución en el índice de bienes muebles vendidos motivado por falta de respuesta del mercado a las diferentes publicaciones de venta, la ejecución del primer remate del SAE sin lograr venta de bienes y rezago en la destrucción de una cantidad importante de bienes concernientes al Protocolo entre PGR y SAE.   Efecto:  Otros Motivos:</t>
    </r>
  </si>
  <si>
    <r>
      <t xml:space="preserve">Componente Destino Créditos
</t>
    </r>
    <r>
      <rPr>
        <sz val="10"/>
        <rFont val="Soberana Sans"/>
        <family val="2"/>
      </rPr>
      <t xml:space="preserve"> Causa : Cabe señalar que en su momento no se realizó la carga inicial de la meta para el presupuesto original, así mismo, la meta establecida por el Organismo es de 100%. Al cierre del ejercicio 2013 se obtuvo un porcentaje de cumplimiento de 102.48% lo que significó superar a la meta. La meta fue superada debida a una intensa supervisión del área jurídica a los abogados externos. Efecto:  Otros Motivos:</t>
    </r>
  </si>
  <si>
    <r>
      <t xml:space="preserve"> Índice de aplicación de herramientas de supervisión de las empresas en liquidación a cargo del SAE
</t>
    </r>
    <r>
      <rPr>
        <sz val="10"/>
        <rFont val="Soberana Sans"/>
        <family val="2"/>
      </rPr>
      <t xml:space="preserve"> Causa : Cabe señalar que en su momento no se realizó la carga inicial de la meta para el presupuesto original, así mismo, la meta establecida por el Organismo es de 100%. Al cierre del ejercicio 2013 se obtuvo un resultado de 99.37% sobre la meta, derivado principalmente a la falta de programación de una reunión de seguimiento. Efecto:  Otros Motivos:</t>
    </r>
  </si>
  <si>
    <r>
      <t xml:space="preserve">Avance de Venta de Bienes Muebles
</t>
    </r>
    <r>
      <rPr>
        <sz val="10"/>
        <rFont val="Soberana Sans"/>
        <family val="2"/>
      </rPr>
      <t xml:space="preserve"> Causa : Cabe señalar que en su momento no se realizó la carga inicial de la meta para el presupuesto original, así mismo, la meta establecida por el Organismo es de 50%. Cabe señalar que la meta final para este indicador se esperaba de 65% y el resultado final fue de un 54.07% de cumplimiento con lo cual la meta no fue alcanzada debido a que se estuvieron ofertando bienes muebles en intentos adicionales sin lograr su colocación en el mercado, adicionalmente se ejecutó el primer remate del SAE sin lograr desplazar bienes por lo que se trabajara en replantear la metodología de evaluación referencias de valor para buscar mejores resultados para el ejercicio 2014. Efecto:  Otros Motivos:</t>
    </r>
  </si>
  <si>
    <r>
      <t xml:space="preserve">Avance de Venta de Bienes Inmuebles
</t>
    </r>
    <r>
      <rPr>
        <sz val="10"/>
        <rFont val="Soberana Sans"/>
        <family val="2"/>
      </rPr>
      <t xml:space="preserve"> Causa : Cabe señalar que en su momento no se realizó la carga inicial de la meta para el presupuesto original, así mismo, la meta establecida por el Organismo es de 35%. Al cierre del ejercicio 2013 se obtuvo un porcentaje de cumplimiento de 28.07%, Si bien el desplazamiento de inmuebles supero en 123% al 2012 la meta no fue alcanzada y se están definiendo nuevas estrategias de comercialización que potencien el desplazamiento en 2014. Efecto:  Otros Motivos:</t>
    </r>
  </si>
  <si>
    <r>
      <t xml:space="preserve">Avance de Destrucción de Bienes Muebles
</t>
    </r>
    <r>
      <rPr>
        <sz val="10"/>
        <rFont val="Soberana Sans"/>
        <family val="2"/>
      </rPr>
      <t xml:space="preserve"> Causa : Cabe señalar que en su momento no se realizó la carga inicial de la meta para el presupuesto original, así mismo, la meta establecida por el Organismo es de 90%. Al cierre del ejercicio 2013 se obtuvo un porcentaje de cumplimiento de 58.83%, si bien en el último trimestre se destruyeron 6.5 millones de bienes, el indicador denota un rezago por 6.7 millones de bienes derivados del Protocolo PGR-SAE que deben ser depurados. Adicionalmente en diciembre de 2013 se autorizaron 1.6 millone4s de bienes cuya destrucción se realizara en 2014. Efecto:  Otros Motivos:</t>
    </r>
  </si>
  <si>
    <r>
      <t xml:space="preserve">Puesta en Venta de Bienes Muebles
</t>
    </r>
    <r>
      <rPr>
        <sz val="10"/>
        <rFont val="Soberana Sans"/>
        <family val="2"/>
      </rPr>
      <t xml:space="preserve"> Causa : Cabe señalar que en su momento no se realizó la carga inicial de la meta para el presupuesto original, así mismo, la meta establecida por el Organismo es de 90%. Al cierre del ejercicio 2013 se obtuvo un porcentaje de cumplimiento de 99.41%, derivado del programa de eventos comerciales del último trimestre se logró exponer al público prácticamente todo el inventario susceptible para la venta, sin embargo no se concretaron el total de las ventas. Efecto:  Otros Motivos:</t>
    </r>
  </si>
  <si>
    <r>
      <t xml:space="preserve">Puesta en Venta de Bienes Inmuebles
</t>
    </r>
    <r>
      <rPr>
        <sz val="10"/>
        <rFont val="Soberana Sans"/>
        <family val="2"/>
      </rPr>
      <t xml:space="preserve"> Causa : Cabe señalar que en su momento no se realizó la carga inicial de la meta para el presupuesto original, así mismo, la meta establecida por el Organismo es de 90%. Al cierre del ejercicio 2013 se obtuvo un porcentaje de cumplimiento de 44.03%, si bien no se alcanzó la meta, se continuo trabajando arduamente en la preparación de los bienes inmuebles comercializables incrementado significativamente su exposición al mercado. Efecto:  Otros Motivos:</t>
    </r>
  </si>
  <si>
    <r>
      <t xml:space="preserve">Avance de Otorgamiento de donaciones de Bienes Muebles
</t>
    </r>
    <r>
      <rPr>
        <sz val="10"/>
        <rFont val="Soberana Sans"/>
        <family val="2"/>
      </rPr>
      <t xml:space="preserve"> Causa : Cabe señalar que en su momento no se realizó la carga inicial de la meta para el presupuesto original, así mismo, la meta establecida por el Organismo es de 95%, la cual fue superada en 100.52% debido a que en el último trimestre se formalizaron 54 donaciones de 66 autorizadas incluyendo 7 donaciones autorizadas en el 2012, quedando pendiente 12 que se formalizan en el mes de enero de 2014. Efecto:  Otros Motivos:</t>
    </r>
  </si>
  <si>
    <r>
      <t xml:space="preserve">Desempeño de abogados externos
</t>
    </r>
    <r>
      <rPr>
        <sz val="10"/>
        <rFont val="Soberana Sans"/>
        <family val="2"/>
      </rPr>
      <t xml:space="preserve"> Causa : Cabe señalar que en su momento no se realizó la carga inicial de la meta para el presupuesto original, así mismo, la meta establecida por el Organismo es de 90%. Al cierre del ejercicio 2013 se obtuvo un porcentaje de cumplimiento de 104.34%, lo que significó superar a la meta establecida, como consecuencia de la labor de supervisión a abogados externos. Efecto:  Otros Motivos:</t>
    </r>
  </si>
  <si>
    <r>
      <t xml:space="preserve">Recursos financieros en procesos legales
</t>
    </r>
    <r>
      <rPr>
        <sz val="10"/>
        <rFont val="Soberana Sans"/>
        <family val="2"/>
      </rPr>
      <t xml:space="preserve"> Causa : Cabe señalar que en su momento no se realizó la carga inicial de la meta para el presupuesto original, así mismo, la meta establecida por el Organismo es de 10% de forma descendente, lo que quiere decir que entre menor a 10% es el indicador mayor cumplimiento del mismo, es así que al cierre del ejercicio 2013 se obtuvo un porcentaje de cumplimiento de 9.44%, derivado de los resultados en materia de recuperación judicial contra los pagos efectuados, con lo que se superó la meta en un 100.62%. Efecto:  Otros Motivos:</t>
    </r>
  </si>
  <si>
    <r>
      <t xml:space="preserve">Porcentaje de empresas que cuentan con tarjeta estratégica
</t>
    </r>
    <r>
      <rPr>
        <sz val="10"/>
        <rFont val="Soberana Sans"/>
        <family val="2"/>
      </rPr>
      <t xml:space="preserve"> Causa : Cabe señalar que en su momento no se realizó la carga inicial de la meta para el presupuesto original, así mismo, la meta establecida por el Organismo es de 100%. Al cierre del ejercicio 2013 se obtuvo un porcentaje de cumplimiento de 100%, al no presentarse desviaciones en el proceso se logró el resultado conforme a la meta establecida. Efecto:  Otros Motivos:</t>
    </r>
  </si>
  <si>
    <r>
      <t xml:space="preserve">Porcentaje de empresas con seguimiento
</t>
    </r>
    <r>
      <rPr>
        <sz val="10"/>
        <rFont val="Soberana Sans"/>
        <family val="2"/>
      </rPr>
      <t xml:space="preserve"> Causa : Cabe señalar que en su momento no se realizó la carga inicial de la meta para el presupuesto original, así mismo, la meta establecida por el Organismo es de 100%. Al cierre del ejercicio 2013 se obtuvo un porcentaje de cumplimiento de 98.11%, derivado de la no programación de una sesión de seguimiento no se cumplió con el 100% establecido en la meta. Efecto:  Otros Motivos:</t>
    </r>
  </si>
  <si>
    <r>
      <t xml:space="preserve">Porcentaje de rendición de cuentas de Empresas a cargo del SAE
</t>
    </r>
    <r>
      <rPr>
        <sz val="10"/>
        <rFont val="Soberana Sans"/>
        <family val="2"/>
      </rPr>
      <t xml:space="preserve"> Causa : Cabe señalar que en su momento no se realizó la carga inicial de la meta para el presupuesto original, así mismo, la meta establecida por el Organismo es de 100%. Al cierre del ejercicio 2013 se obtuvo un porcentaje de cumplimiento de 100%, al no presentarse desviaciones en el proceso se logró el resultado conforme a la meta establecida. Efecto:  Otros Motivos:</t>
    </r>
  </si>
  <si>
    <t>F001</t>
  </si>
  <si>
    <t>Programa de Garantías Liquidas</t>
  </si>
  <si>
    <t>HAN-Financiera Rural</t>
  </si>
  <si>
    <t>Perspectiva de Género</t>
  </si>
  <si>
    <t>3 - Desarrollo Económico</t>
  </si>
  <si>
    <t>2 - Agropecuaria, Silvicultura, Pesca y Caza</t>
  </si>
  <si>
    <t>6 - Apoyo Financiero a la Banca y Seguro Agropecuario</t>
  </si>
  <si>
    <t>18 - Financiamiento y fomento al sector rural</t>
  </si>
  <si>
    <t>Contribuir a fortalecer la banca de desarrollo a través de esquemas de liquidez en el sector rural.</t>
  </si>
  <si>
    <r>
      <t>Porcentaje de participación en la colocación crediticia de Financiera Rural respecto de la banca de desarrollo.</t>
    </r>
    <r>
      <rPr>
        <i/>
        <sz val="10"/>
        <color indexed="30"/>
        <rFont val="Soberana Sans"/>
        <family val="3"/>
      </rPr>
      <t xml:space="preserve">
</t>
    </r>
  </si>
  <si>
    <t>(Crédito colocado por financiera rural / crédito colocado por la banca de desarrollo) *100</t>
  </si>
  <si>
    <t>Los productores e intermediarios financieros rurales cuentan con apoyos que garanticen la liquidez oportuna para acceder u operar un crédito.</t>
  </si>
  <si>
    <r>
      <t>Porcentaje del crédito asociado por el programa de garantías líquidas respecto del crédito otorgado por Financiera Rural.</t>
    </r>
    <r>
      <rPr>
        <i/>
        <sz val="10"/>
        <color indexed="30"/>
        <rFont val="Soberana Sans"/>
        <family val="3"/>
      </rPr>
      <t xml:space="preserve">
Indicador Seleccionado</t>
    </r>
  </si>
  <si>
    <t>(Crédito asociado al programa de garantías líquidas / total de crédito otorgado por Financiera Rural)* 100</t>
  </si>
  <si>
    <t>A Garantías Otorgadas.</t>
  </si>
  <si>
    <r>
      <t>Porcentaje de cobertura incrementada del Programa para la Constitución de Garantías Líquidas.</t>
    </r>
    <r>
      <rPr>
        <i/>
        <sz val="10"/>
        <color indexed="30"/>
        <rFont val="Soberana Sans"/>
        <family val="3"/>
      </rPr>
      <t xml:space="preserve">
</t>
    </r>
  </si>
  <si>
    <t>(Número de beneficiarios nuevos en el Programa para la constitución de garantías liquidas/ Número total de beneficiarios en el Programa para la constitución de garantías liquidas)*100</t>
  </si>
  <si>
    <r>
      <t>Nivel de satisfacción de los beneficiarios que constituyen garantías líquidas.</t>
    </r>
    <r>
      <rPr>
        <i/>
        <sz val="10"/>
        <color indexed="30"/>
        <rFont val="Soberana Sans"/>
        <family val="3"/>
      </rPr>
      <t xml:space="preserve">
</t>
    </r>
  </si>
  <si>
    <t>(Número de opiniones favorables en el Programa para la constitución de garantías liquidas / Número de opiniones recibidas en el Programa para la constitución de garantías liquidas)*100</t>
  </si>
  <si>
    <t>Gestión-Calidad-Trimestral</t>
  </si>
  <si>
    <t>A 1 Sin Información</t>
  </si>
  <si>
    <r>
      <t>Porcentaje de atención a la demanda de los apoyos recibidos en el Programa para la constitución de garantías liquidas</t>
    </r>
    <r>
      <rPr>
        <i/>
        <sz val="10"/>
        <color indexed="30"/>
        <rFont val="Soberana Sans"/>
        <family val="3"/>
      </rPr>
      <t xml:space="preserve">
</t>
    </r>
  </si>
  <si>
    <t>(Número de apoyos otorgados en el Programa para la constitución de garantías liquidas/ total de solicitudes recibidas en el Programa para la constitución de garantías liquidas.)  * 100</t>
  </si>
  <si>
    <t>A 2 Resolución de solicitudes de apoyo del Programa para la constitución de garantías liquidas.</t>
  </si>
  <si>
    <r>
      <t>Porcentaje de solicitudes atendidas oportunamente del Programa para la Constitución de Garantías Líquidas</t>
    </r>
    <r>
      <rPr>
        <i/>
        <sz val="10"/>
        <color indexed="30"/>
        <rFont val="Soberana Sans"/>
        <family val="3"/>
      </rPr>
      <t xml:space="preserve">
</t>
    </r>
  </si>
  <si>
    <t>(Número de solicitudes atendidas oportunamente del Programa para la Constitución de Garantías Líquidas / Total de solicitudes atendidas del Programa para la Constitución de Garantías Líquidas)*100</t>
  </si>
  <si>
    <r>
      <t xml:space="preserve">Porcentaje de participación en la colocación crediticia de Financiera Rural respecto de la banca de desarrollo.
</t>
    </r>
    <r>
      <rPr>
        <sz val="10"/>
        <rFont val="Soberana Sans"/>
        <family val="2"/>
      </rPr>
      <t xml:space="preserve"> Causa : Financiera Rural estableció para 2013 el indicador estratégico "Porcentaje de participación en la colocación crediticia de Financiera Rural respecto de la banca de desarrollo", a fin de atender con eficacia la participación de Financiera Rural respecto de la banca de desarrollo a través el otorgamiento del crédito. Al final del ejercicio, se observó un porcentaje de cumplimiento de 111 por ciento respecto a lo programado. Este comportamiento se explica principalmente por lo siguiente:   El aumento de este indicador obedece a que se implementaron las estrategias que fomentaron el financiamiento en el sector rural, lo cual significó una colocación crediticia de 35,446.9 millones de pesos, superior en 26 por ciento con respecto a la colocación de la Financiera Rural en el ejercicio 2012.   Desde finales de 2011, la Financiera Rural implementó la Estrategia Integral de Financiamiento, cuyo principal objetivo consiste en aumentar el acceso al financiamiento con mejores condiciones en sectores estratégicos por medio de: (1) un Fondo Mutual de Garantías Líquidas, (2) la potenciación del uso de subsidios de Financiera Rural y otras dependencias del Gobierno Federal y (3) la implementación de nuevos mitigantes de riesgo.    En alineación con la política nacional, y de conformidad con lo establecido en el Pacto por México y la Cruzada Nacional Contra el Hambre, la Financiera Rural alineo las estrategias de financiamiento por segmento, lo cual permite dar atención focalizada a la población y a las actividades económicas prioritarias en el país.     Efecto: Los beneficios económicos y sociales alcanzados con este indicador de fin, contribuyeron a consolidar el sistema financiero en el medio rural, ofreciendo tasas competitivas y coadyuvando a que la sociedad tenga una mejor calidad de vida. Asimismo, el cumplimiento de la meta impacta positivamente en los siguientes aspectos:        Generar valor en las actividades productivas del país.        Desarrollar procesos de integración económica en el medio rural.        Incrementar la cobertura crediticia.   Con ello se ha logrado reducir el costo de acceso al crédito lo que permite que los productos de crédito la Financiera Rural sean competitivos y en consecuencia incrementar la colocación.     Otros Motivos:</t>
    </r>
  </si>
  <si>
    <r>
      <t xml:space="preserve">Porcentaje del crédito asociado por el programa de garantías líquidas respecto del crédito otorgado por Financiera Rural.
</t>
    </r>
    <r>
      <rPr>
        <sz val="10"/>
        <rFont val="Soberana Sans"/>
        <family val="2"/>
      </rPr>
      <t xml:space="preserve"> Causa : Financiera Rural estableció para 2013 el indicador estratégico ¿Porcentaje del crédito asociado por el programa de garantías líquidas respecto del crédito otorgado por Financiera Rural¿, a fin de atender con eficacia la participación crediticia del programa respecto de la colocación crediticia de Financiera Rural, a través de la detonación de crédito. Al final del ejercicio, se observó un porcentaje de cumplimiento de 294.1 por ciento respecto a lo programado. Este comportamiento se explica principalmente por lo siguiente:   En 2013, se logró una colocación crediticia de 9,382.09 millones de pesos asociada al Programa de Garantías Líquidas, de los cuales 7,612.77 millones de pesos del crédito es asociado a través del Componente del Fondo Mutual de Garantías Líquidas de la Financiera Rural en este Programa, lo cual representa el 81.1 por ciento    Con el Fondo Mutual se logra una mayor certidumbre en las operaciones crediticias, permitiendo el otorgamiento del crédito a menores tasas de interés a nuestros acreditados, lo que hace posible que los productos de crédito de la Financiera Rural sean más competitivos.   Cabe mencionar que se solicitó a la SHCP incrementar la meta anual al 19%, sin embargo, dado que es indicador PEF no fue posible modificar la misma.    Efecto: Los beneficios económicos y sociales alcanzados con este indicador de propósito, permitieron a 1,325 productores y empresas de intermediación financiera Los beneficios económicos y sociales alcanzados con este indicador de propósito, permitieron a 1,325 productores y empresas de intermediación financiera contar con mejores condiciones crediticias Otros Motivos:</t>
    </r>
  </si>
  <si>
    <r>
      <t xml:space="preserve">Porcentaje de cobertura incrementada del Programa para la Constitución de Garantías Líquidas.
</t>
    </r>
    <r>
      <rPr>
        <sz val="10"/>
        <rFont val="Soberana Sans"/>
        <family val="2"/>
      </rPr>
      <t xml:space="preserve"> Causa : Financiera Rural estableció para 2013 el indicador estratégico ¿Porcentaje de cobertura incrementada del Programa para la Constitución de Garantías Líquidas¿, a fin de incrementar con eficacia el número de clientes apoyados por el Programa, a través de los diversos apoyos de garantías. Al final del ejercicio, se observó un porcentaje de cumplimiento de 223.9 por ciento respecto a lo programado. Este comportamiento se explica principalmente por lo siguiente:   El avance del indicador se debe a que durante los primeros meses de 2013, se incrementó la cifra de nuevos beneficiarios que recibieron los Apoyos del Componente para la Reducción de Riesgos Crediticios derivado de la helada en los Estados de Sinaloa y Sonora, y en el segundo semestre del año de la helada en el Estado de Guanajuato. En total se otorgaron apoyos a 765 nuevos beneficiarios de este Programa   De igual manera, se incrementó la cifra de nuevos beneficiarios que recibieron los apoyos para la constitución de las garantías a través del Fondo Mutual de Garantías Líquidas de la Financiera Rural, lo que ha permitido mejorar las condiciones crediticias en cuanto a las tasas de interés.    Efecto: Los beneficios económicos y sociales alcanzados con este indicador de componente, permitieron beneficiar de manera directa e indirecta a 3,224 nuevos beneficiarios del programa., permitiendo acceder a mejores tasas y mitigar la pérdida ocasionada por los eventos climatológicos presentados. Otros Motivos:</t>
    </r>
  </si>
  <si>
    <r>
      <t xml:space="preserve">Nivel de satisfacción de los beneficiarios que constituyen garantías líquidas.
</t>
    </r>
    <r>
      <rPr>
        <sz val="10"/>
        <rFont val="Soberana Sans"/>
        <family val="2"/>
      </rPr>
      <t xml:space="preserve"> Causa : Financiera Rural estableció para 2013 el indicador de gestión ¿Nivel de satisfacción de los beneficiarios que constituyen garantías líquidas¿, a fin de medir la calidad en el servicio recibido por los beneficiarios de los apoyos del Programa de Garantías Líquidas. Al final del ejercicio, se observó un porcentaje de cumplimiento de 105.3 por ciento respecto a lo programado. Este comportamiento se explica principalmente por lo siguiente:   Las Reglas de Operación del Programa establecen una estructura accesible para el otorgamiento de los apoyos, por lo que el 100% de las encuestas recibidas del Programa cuentan con una percepción favorable de los beneficiarios en relación con la operación y utilidad del programa.    Cabe mencionar que respondieron 10 de los 36 encuestados. En este sentido, se tiene previsto para 2014 implementar acciones con el fin de incrementar la participación en las encuestas de los beneficiarios del Programa.    Efecto: Los beneficios económicos y sociales alcanzados con este indicador de actividad, consisten en generar oportunidad y beneficio en los apoyos de garantías líquidas, en los servicios que ofrece la Financiera Rural.   La percepción de los beneficiarios nos permiten mejorar la atención al usuario, por lo que se han realizado mejoras en las Reglas de Operación del Programa, para que sean más precisas, fáciles de entender y que los tiempos de respuesta sean los adecuados para cada componente con el fin de facilitar los trámites de operación para los apoyos que otorga la Financiera Rural     Otros Motivos:</t>
    </r>
  </si>
  <si>
    <r>
      <t xml:space="preserve">Porcentaje de atención a la demanda de los apoyos recibidos en el Programa para la constitución de garantías liquidas
</t>
    </r>
    <r>
      <rPr>
        <sz val="10"/>
        <rFont val="Soberana Sans"/>
        <family val="2"/>
      </rPr>
      <t xml:space="preserve"> Causa : Financiera Rural estableció para 2013 el indicador de gestión ¿Porcentaje de atención a la demanda de los apoyos recibidos en el Programa para la constitución de garantías líquidas¿, a fin de atender con eficacia las solicitudes de apoyo del Programa para la Constitución de Garantías Líquidas. Al final del ejercicio, se observó un porcentaje de cumplimiento de 82.8 por ciento respecto a lo programado. Este comportamiento se explica principalmente por lo siguiente:   No se alcanzó la meta del indicador, debido principalmente a que, durante diciembre de 2013 se registraron 705 nuevas solicitudes, para el apoyo a la inversión, no obstante 620 solicitudes, aun y cuando se encuentran dentro de los tiempos establecidos por las reglas de operación para su autorización correspondiente, no fueron otorgadas derivado de que los créditos fueron aperturados durante el último bimestre de 2013 y el otorgamiento del Apoyo se encuentra asociado a la ministración del crédito      Efecto: Los beneficios económicos y sociales alcanzados con este indicador de componente, permitió mediante los 1873 apoyos otorgados beneficiar a 9,024 Productores. Asimismo, ayudó a reactivar los procesos productivos de aquellos productores que se vieron afectados por los eventos climatológicos presentados.  Otros Motivos:</t>
    </r>
  </si>
  <si>
    <r>
      <t xml:space="preserve">Porcentaje de solicitudes atendidas oportunamente del Programa para la Constitución de Garantías Líquidas
</t>
    </r>
    <r>
      <rPr>
        <sz val="10"/>
        <rFont val="Soberana Sans"/>
        <family val="2"/>
      </rPr>
      <t xml:space="preserve"> Causa : Financiera Rural estableció para 2013 el indicador de gestión ¿Porcentaje de solicitudes atendidas oportunamente del Programa para la constitución de garantías líquidas¿, a fin de atender con eficiencia las solicitudes de apoyo del Programa para la Constitución de Garantías Líquidas. Al final del ejercicio, se observó un porcentaje de cumplimiento de 52.2 por ciento respecto a lo programado. Este comportamiento se explica principalmente por lo siguiente:      No se alcanzó la meta del indicador derivado de que los tiempos establecidos en las Reglas de Operación publicadas el 28 de febrero de 2013, no eran acordes a los requeridos por las diferentes instancias de autorización. Se adecuaron los tiempos de respuesta en la modificación a las Reglas de Operación publicadas el 24 de septiembre de 2013, considerando el trámite de los solicitantes y los requeridos por las instancias. Con ésta modificación, las solicitudes atendidas oportunamente se eleva al 89.7 %, lo que superaría la meta programada.       Efecto: Los beneficios económicos y sociales alcanzados con este indicador de actividad, permitieron atender  a 9,924 productores, mejorando sus condiciones crediticias y,ayudó a reactivar los procesos productivos de aquellos productores que se vieron afectados por los eventos climatológicos presentados. Otros Motivos:Se informa que La meta aprobada no se puede modificar, sin embargo en el PASH se pudo actualizar el avance de meta para cada uno de los trimestres</t>
    </r>
  </si>
  <si>
    <t>F006</t>
  </si>
  <si>
    <t>Productos y Servicios para Fortalecer el Sector y Fomentar la Inclusión Financiera</t>
  </si>
  <si>
    <t>HJO-Banco del Ahorro Nacional y Servicios Financieros, S.N.C.</t>
  </si>
  <si>
    <t>2 - Desarrollo Social</t>
  </si>
  <si>
    <t>7 - Otros Asuntos Sociales</t>
  </si>
  <si>
    <t>1 - Otros Asuntos Sociales</t>
  </si>
  <si>
    <t>103 - Actividades de fomento de la banca de desarrollo</t>
  </si>
  <si>
    <t>Contribuir a la reorientación de la actuación de la Banca de Desarrollo mediante la oferta de productos y servicios financieros de BANSEFI y la inclusión financiera.</t>
  </si>
  <si>
    <r>
      <t xml:space="preserve">Porcentaje de población atendida por el Sector de Ahorro  y Crédito Popular y Cooperativo y BANSEFI </t>
    </r>
    <r>
      <rPr>
        <i/>
        <sz val="10"/>
        <color indexed="30"/>
        <rFont val="Soberana Sans"/>
        <family val="3"/>
      </rPr>
      <t xml:space="preserve">
</t>
    </r>
  </si>
  <si>
    <t>(Número de usuarios atendidos por las Sociedades del Sector de Ahorro y Crédito Popular y Cooperativo y BANSEFI/ Total de población adulta que habita en los municipios en donde tienen presencia las sucursales de las Sociedades del Sector)*100</t>
  </si>
  <si>
    <t>Los intermediarios financieros no bancarios tienen acceso a productos y servicios de BANSEFI para fortalecer su oferta de productos y servicios financieros a sus socios o clientes.</t>
  </si>
  <si>
    <r>
      <t xml:space="preserve">Tasa de variación de servicios financieros </t>
    </r>
    <r>
      <rPr>
        <i/>
        <sz val="10"/>
        <color indexed="30"/>
        <rFont val="Soberana Sans"/>
        <family val="3"/>
      </rPr>
      <t xml:space="preserve">
</t>
    </r>
  </si>
  <si>
    <t>(Número de servicios financieros contratados con BANSEFI por intermediarios financieros que se incorporan a L@Red de la Gente, servicios de la Plataforma Tecnológica BANSEFI y Servicios de Asistencia Técnica, capacitación, educación financiera y PATMIR acumulados en el periodo/Total de Servicios acumulados desde 2010 al cierre del periodo anterior)*100</t>
  </si>
  <si>
    <r>
      <t>Servicios a Intermediarios Financieros No Bancarios (Actual PEF)</t>
    </r>
    <r>
      <rPr>
        <i/>
        <sz val="10"/>
        <color indexed="30"/>
        <rFont val="Soberana Sans"/>
        <family val="3"/>
      </rPr>
      <t xml:space="preserve">
Indicador Seleccionado</t>
    </r>
  </si>
  <si>
    <t>Suma de los servicios financieros contratados con BANSEFI por intermediarios financieros que se incorporan a L@Red de la Gente, Implementaciones de la Plataforma Tecnológica de BANSEFI, Apoyos de Capacitación, asistencia técnica, Educación Financiera y servicios a sociedades participantes en PATMIR otorgados</t>
  </si>
  <si>
    <t>Servicio</t>
  </si>
  <si>
    <t>A Servicios a las sociedades de L@ Red de la Gente integradas</t>
  </si>
  <si>
    <r>
      <t>Porcentaje de Sociedades integrantes de L@ Red de la Gente</t>
    </r>
    <r>
      <rPr>
        <i/>
        <sz val="10"/>
        <color indexed="30"/>
        <rFont val="Soberana Sans"/>
        <family val="3"/>
      </rPr>
      <t xml:space="preserve">
</t>
    </r>
  </si>
  <si>
    <t>(Número de Sociedades que ingresan a L@ Red de la Gente en el periodo/Número de Sociedades que ingresaron a l@ Red de la Gente  total planeadas en el periodo)*100</t>
  </si>
  <si>
    <t>B Servicios de la Plataforma Tecnológica BANSEFI Implementados</t>
  </si>
  <si>
    <r>
      <t>Porcentaje de Implantaciones totales Plataforma Tecnológica de BANSEFI</t>
    </r>
    <r>
      <rPr>
        <i/>
        <sz val="10"/>
        <color indexed="30"/>
        <rFont val="Soberana Sans"/>
        <family val="3"/>
      </rPr>
      <t xml:space="preserve">
</t>
    </r>
  </si>
  <si>
    <t>(Número de Implantaciones de la Plataforma Tecnológica de BANSEFI del periodo/Número de Implantaciones de la Plataforma Tecnológica de BANSEFI del año anterior)*100</t>
  </si>
  <si>
    <t>C Apoyos a las Sociedades de Ahorro y Crédito Popular y Cooperativo y Organismos de Integración aprobados</t>
  </si>
  <si>
    <r>
      <t>Porcentaje de Sociedades de Ahorro y Crédito Popular y Cooperativo y Organismos de Integración a los que se autoriza los apoyos</t>
    </r>
    <r>
      <rPr>
        <i/>
        <sz val="10"/>
        <color indexed="30"/>
        <rFont val="Soberana Sans"/>
        <family val="3"/>
      </rPr>
      <t xml:space="preserve">
</t>
    </r>
  </si>
  <si>
    <t>(Número de Sociedades de Ahorro y Crédito Popular y Cooperativo y Organismos de Integración a las que se autorizó los apoyos/Total de Sociedades del Sector de Ahorro y Crédito Popular y Cooperativo y Organismos de Integración planeadas en el periodo)*100</t>
  </si>
  <si>
    <t>D Corresponsales Bancarios habilitados</t>
  </si>
  <si>
    <r>
      <t>Porcentaje de corresponsales bancarios habilitados</t>
    </r>
    <r>
      <rPr>
        <i/>
        <sz val="10"/>
        <color indexed="30"/>
        <rFont val="Soberana Sans"/>
        <family val="3"/>
      </rPr>
      <t xml:space="preserve">
</t>
    </r>
  </si>
  <si>
    <t>(Número de Corresponsales Bancarios solicitados a la CNBV para operación/Total de corresponsales bancarios solicitados planeados en el periodo)*100</t>
  </si>
  <si>
    <t>E Asistencia a las Sociedades de Ahorro y Crédito Popular y Cooperativo impartida</t>
  </si>
  <si>
    <r>
      <t xml:space="preserve">Porcentaje de Sociedades de Ahorro y Crédito Popular y Cooperativo apoyadas </t>
    </r>
    <r>
      <rPr>
        <i/>
        <sz val="10"/>
        <color indexed="30"/>
        <rFont val="Soberana Sans"/>
        <family val="3"/>
      </rPr>
      <t xml:space="preserve">
</t>
    </r>
  </si>
  <si>
    <t>(Número de Sociedades de Ahorro y Crédito Popular y Cooperativo asistidas y apoyadas/Total de Sociedades de Ahorro y Crédito Popular y Cooperativo planeadas en el periodo)*100</t>
  </si>
  <si>
    <t>A 1 Promoción de servicios para L@ Red de la Gente</t>
  </si>
  <si>
    <r>
      <t>Sociedades Atendidas</t>
    </r>
    <r>
      <rPr>
        <i/>
        <sz val="10"/>
        <color indexed="30"/>
        <rFont val="Soberana Sans"/>
        <family val="3"/>
      </rPr>
      <t xml:space="preserve">
</t>
    </r>
  </si>
  <si>
    <t>Sumatoria de sociedades atendidas</t>
  </si>
  <si>
    <t>Sociedades</t>
  </si>
  <si>
    <t>B 2 Optimización la Plataforma Tecnológica para su mayor utilización</t>
  </si>
  <si>
    <r>
      <t>Transacciones de la Plataforma Tecnológica</t>
    </r>
    <r>
      <rPr>
        <i/>
        <sz val="10"/>
        <color indexed="30"/>
        <rFont val="Soberana Sans"/>
        <family val="3"/>
      </rPr>
      <t xml:space="preserve">
</t>
    </r>
  </si>
  <si>
    <t>Sumatoria de transacciones</t>
  </si>
  <si>
    <t>Millones de Transacciones</t>
  </si>
  <si>
    <t>B 3 Otorgamiento de Apoyos para adopción de la Plataforma Tecnológica de BANSEFI</t>
  </si>
  <si>
    <r>
      <t>Apoyos Otorgados</t>
    </r>
    <r>
      <rPr>
        <i/>
        <sz val="10"/>
        <color indexed="30"/>
        <rFont val="Soberana Sans"/>
        <family val="3"/>
      </rPr>
      <t xml:space="preserve">
</t>
    </r>
  </si>
  <si>
    <t>Sumatoria de Apoyos</t>
  </si>
  <si>
    <t>Apoyo</t>
  </si>
  <si>
    <t>C 4 Aprobación de servicios de Asistencia Técnica y Capacitación a los integrantes del Sector de Ahorro y Crédito Popular y Cooperativo</t>
  </si>
  <si>
    <r>
      <t>Servicios Aprobados de Asistencia Técnica y Capacitación a los integrantes del Sector de Ahorro y Crédito Popular y Cooperativo</t>
    </r>
    <r>
      <rPr>
        <i/>
        <sz val="10"/>
        <color indexed="30"/>
        <rFont val="Soberana Sans"/>
        <family val="3"/>
      </rPr>
      <t xml:space="preserve">
</t>
    </r>
  </si>
  <si>
    <t>Sumatoria de Servicios aprobados</t>
  </si>
  <si>
    <t>D 5 Valoración de establecimientos potenciales para ser corresponsales bancarios.</t>
  </si>
  <si>
    <r>
      <t>Establecimientos evaluados para ser corresponsales bancarios</t>
    </r>
    <r>
      <rPr>
        <i/>
        <sz val="10"/>
        <color indexed="30"/>
        <rFont val="Soberana Sans"/>
        <family val="3"/>
      </rPr>
      <t xml:space="preserve">
</t>
    </r>
  </si>
  <si>
    <t>Sumatoria de Establecimientos</t>
  </si>
  <si>
    <t>Establecimiento</t>
  </si>
  <si>
    <t>E 6 Verificación anual de estándares de calidad</t>
  </si>
  <si>
    <r>
      <t>Nivel de cumplimiento de estándares</t>
    </r>
    <r>
      <rPr>
        <i/>
        <sz val="10"/>
        <color indexed="30"/>
        <rFont val="Soberana Sans"/>
        <family val="3"/>
      </rPr>
      <t xml:space="preserve">
</t>
    </r>
  </si>
  <si>
    <t>(Suma de Calificaciones de las Alianzas/total de Alianzas Participantes)</t>
  </si>
  <si>
    <t>Promedio</t>
  </si>
  <si>
    <t>E 7 Entrega de recursos por inclusión de nueva membresía en las sociedades de ahorro y crédito popular y cooperativo participantes en PATMIR</t>
  </si>
  <si>
    <r>
      <t>Costo de los servicios de consultoría y apoyos a costos incrementales distribuidos vía los Agentes Técnicos.</t>
    </r>
    <r>
      <rPr>
        <i/>
        <sz val="10"/>
        <color indexed="30"/>
        <rFont val="Soberana Sans"/>
        <family val="3"/>
      </rPr>
      <t xml:space="preserve">
</t>
    </r>
  </si>
  <si>
    <t>(Recursos entregados a los Agentes Técnicos acumulados  al mes / Total Anual de recursos programados y autorizados para esta actividad)*100</t>
  </si>
  <si>
    <r>
      <t xml:space="preserve">Porcentaje de población atendida por el Sector de Ahorro  y Crédito Popular y Cooperativo y BANSEFI 
</t>
    </r>
    <r>
      <rPr>
        <sz val="10"/>
        <rFont val="Soberana Sans"/>
        <family val="2"/>
      </rPr>
      <t xml:space="preserve"> Causa : Se logró superar la meta de usuarios atendidos gracias al esfuerzo de las Sociedades del Sector de Ahorro y Crédito Popular y Cooperativo y BANSEFI. Efecto: Más usuarios son atendidos por las  Sociedades del Sector de Ahorro y Crédito Popular y Cooperativo y BANSEFI. Otros Motivos:</t>
    </r>
  </si>
  <si>
    <r>
      <t xml:space="preserve">Tasa de variación de servicios financieros 
</t>
    </r>
    <r>
      <rPr>
        <sz val="10"/>
        <rFont val="Soberana Sans"/>
        <family val="2"/>
      </rPr>
      <t xml:space="preserve"> Causa : No se logró alcanzar la meta debido a que no fue posible atender a todas las Sociedades y Organismos de Integración que solicitaron apoyos por los ajustes presupuestales que se realizaron en el segundo semestre del año. Efecto: Con estos apoyos las Sociedades se beneficiaron en la medida en que les fue posible cumplir con la normatividad, así como otorgar mejores servicios financieros a sus socios y clientes, y fomentar la educación financiera y la inclusión de nuevos socios. No obstante, no será posible atender a la totalidad de las Sociedades que solicitaron apoyos, destacadamente las que se encuentran en proceso de transición. Lo anterior, en virtud de que el período otorgado por la Ley para que presenten su solicitud de autorización concluirá en marzo de 2014., y muchas de ellas no estarán en posibilidad de concluir el proceso correspondiente antes de esa fecha. Otros Motivos:</t>
    </r>
  </si>
  <si>
    <r>
      <t xml:space="preserve">Servicios a Intermediarios Financieros No Bancarios (Actual PEF)
</t>
    </r>
    <r>
      <rPr>
        <sz val="10"/>
        <rFont val="Soberana Sans"/>
        <family val="2"/>
      </rPr>
      <t xml:space="preserve"> Causa : BANSEFI proporcionó servicios de asistencia técnica y capacitación, así como servicios de segundo piso -a través de L@Red de la Gente-, y de Plataforma Tecnológica a intermediarios financieros no bancarios. Asimismo, prestó servicios de asistencia técnica a través del PATMIR. Al respecto, el resultado del indicador correspondiente fue menor al programado, ya que la meta se definió con un presupuesto que posteriormente fue sujeto de ajustes a la baja. Efecto: Con estos apoyos las Sociedades se beneficiaron en la medida en que les fue posible cumplir con la normatividad, así como otorgar mejores servicios financieros a sus socios y clientes, y fomentar la educación financiera y la inclusión de nuevos socios. No obstante, no será posible atender a la totalidad de las Sociedades que solicitaron apoyos, destacadamente las que se encuentran en proceso de transición. Lo anterior, en virtud de que el período otorgado por la Ley para que presenten su solicitud de autorización concluirá en marzo de 2014., y muchas de ellas no estarán en posibilidad de concluir el proceso correspondiente antes de esa fecha. Otros Motivos:</t>
    </r>
  </si>
  <si>
    <r>
      <t xml:space="preserve">Porcentaje de Sociedades integrantes de L@ Red de la Gente
</t>
    </r>
    <r>
      <rPr>
        <sz val="10"/>
        <rFont val="Soberana Sans"/>
        <family val="2"/>
      </rPr>
      <t xml:space="preserve"> Causa : No se alcanzó la meta, derivado de los ajustes al entorno legal del Sector de Ahorro y Crédito Popular obligando a que las sociedades que lo integran destinaran gran parte de sus esfuerzos al cumplimiento de las disposiciones legales como un tema prioritario. Efecto: L@Red de la Gente continúa trabajando de forma paralela con las sociedades que se encuentran en proceso de autorización ante la C.N.B.V. y que desean formar parte de esta alianza. Otros Motivos:</t>
    </r>
  </si>
  <si>
    <r>
      <t xml:space="preserve">Porcentaje de Implantaciones totales Plataforma Tecnológica de BANSEFI
</t>
    </r>
    <r>
      <rPr>
        <sz val="10"/>
        <rFont val="Soberana Sans"/>
        <family val="2"/>
      </rPr>
      <t xml:space="preserve"> Causa : La meta se superó debido al incremento en el número de implantaciones por lo que hay más entidades utilizando la Plataforma Tecnológica de BANSEFI. Efecto: Se logró un avance de 105.6%, respecto de su meta programada en 2013. Otros Motivos:</t>
    </r>
  </si>
  <si>
    <r>
      <t xml:space="preserve">Porcentaje de Sociedades de Ahorro y Crédito Popular y Cooperativo y Organismos de Integración a los que se autoriza los apoyos
</t>
    </r>
    <r>
      <rPr>
        <sz val="10"/>
        <rFont val="Soberana Sans"/>
        <family val="2"/>
      </rPr>
      <t xml:space="preserve"> Causa : No se logró la meta ya que no fue posible atender a todas las Sociedades y Organismos de Integración que solicitaron apoyos, debido a ajustes presupuestales, no obstante, se reportan las Sociedades que además de recibir apoyos de asistencia técnica y capacitación durante el año, recibieron talleres de Educación Financiera; asimismo, las que fueron apoyadas para el FIPAGO y otras que asistieron a los talleres de información y protección de datos de los socios, realizados en coordinación con la SHCP, CONDUSEF y el IFAI. Efecto: Menos Sociedades recibieron apoyo, sin embargo, se continúa trabajando para que más Sociedades reciban Educación Financiera y presenten sus  documentos al FIPAGO y así puedan cumplir con sus obligaciones en la materia. Otros Motivos:</t>
    </r>
  </si>
  <si>
    <r>
      <t xml:space="preserve">Porcentaje de corresponsales bancarios habilitados
</t>
    </r>
    <r>
      <rPr>
        <sz val="10"/>
        <rFont val="Soberana Sans"/>
        <family val="2"/>
      </rPr>
      <t xml:space="preserve"> Causa : No se alcanzó la meta debido a que se dieron de baja 43 Corresponsales durante 2013 de los cuales 3 de ellos tienen un estatus de baja temporal. Se está en espera de respuesta de la CNBV con respecto a 24 corresponsales adicionales que fueron certificados exitosamente por BANSEFI durante 2013. Efecto: Decremento variable en el número de Corresponsales operando y la necesidad de visitar un mayor número de establecimientos potenciales para participar en el proyecto de Corresponsales BANSEFI para encontrar conectividad. Otros Motivos:</t>
    </r>
  </si>
  <si>
    <r>
      <t xml:space="preserve">Porcentaje de Sociedades de Ahorro y Crédito Popular y Cooperativo apoyadas 
</t>
    </r>
    <r>
      <rPr>
        <sz val="10"/>
        <rFont val="Soberana Sans"/>
        <family val="2"/>
      </rPr>
      <t xml:space="preserve"> Causa : El resultado fue mayor ya que los Agentes Técnicos, particularmente DAI (Developmente Alternatives Inc.) y DGRV (Confederación Alemana de Cooperativas), realizaron un esfuerzo importante por renovar sus portafolios para incorporar a sociedades en mejores condiciones de crecimiento, varias de ellas recién autorizadas en el año 2013. Efecto: La nueva población incorporada financieramente estará en sociedades más solidas con lo que sus ahorros estarán seguros. Otros Motivos:</t>
    </r>
  </si>
  <si>
    <r>
      <t xml:space="preserve">Sociedades Atendidas
</t>
    </r>
    <r>
      <rPr>
        <sz val="10"/>
        <rFont val="Soberana Sans"/>
        <family val="2"/>
      </rPr>
      <t xml:space="preserve"> Causa : El resultado fue menor de lo esperado, ya que  se realizó una depuración de las sociedades integrantes de L@Red de la Gente. Dichas sociedades salieron principalmente por las siguientes razones:  -Deterioro en su calificación en el marco del proceso legal, -Salidas de las sociedades por problemas de inseguridad, -Salida voluntaria por elevados costos de transacción que no recupera lo invertido en la operación. Efecto: Menos sociedades atendidas, no obstante, se continúa con el objetivo de conservar un servicio de calidad en la entrega de los apoyos garantizando que se cumpla en tiempo y forma con el objetivo de la entrega de los apoyos. Asimismo se ha solicitado una nueva migración considerando únicamente la participación de sociedades autorizadas por la CNBV. Otros Motivos:</t>
    </r>
  </si>
  <si>
    <r>
      <t xml:space="preserve">Transacciones de la Plataforma Tecnológica
</t>
    </r>
    <r>
      <rPr>
        <sz val="10"/>
        <rFont val="Soberana Sans"/>
        <family val="2"/>
      </rPr>
      <t xml:space="preserve"> Causa :  Se superó la meta debido al  incremento en el número de beneficiarios de dispersión de apoyos gubernamentales de tarjeta con Chip, adicionalmente se presentó un escenario de casos de doble dispersión debido a la veda electoral. Efecto: Se incrementó la transaccionalidad de la Plataforma Tecnológica. Otros Motivos:</t>
    </r>
  </si>
  <si>
    <r>
      <t xml:space="preserve">Apoyos Otorgados
</t>
    </r>
    <r>
      <rPr>
        <sz val="10"/>
        <rFont val="Soberana Sans"/>
        <family val="2"/>
      </rPr>
      <t xml:space="preserve"> Causa :  El avance  fue menor de lo planeado, ya que el proceso para la asignación de recursos fue más lento de lo esperado.  Efecto: Menos apoyos ejercidos para el Proyecto de Adopción de la PTB. Otros Motivos:</t>
    </r>
  </si>
  <si>
    <r>
      <t xml:space="preserve">Servicios Aprobados de Asistencia Técnica y Capacitación a los integrantes del Sector de Ahorro y Crédito Popular y Cooperativo
</t>
    </r>
    <r>
      <rPr>
        <sz val="10"/>
        <rFont val="Soberana Sans"/>
        <family val="2"/>
      </rPr>
      <t xml:space="preserve"> Causa : No se alcanzó la meta debido al ajuste presupuestal que sufrió el programa, por lo cual  quedaron más de 200 solicitudes de apoyo pendientes de aprobar. Efecto: Se disminuyo el número de servicios aprobados. Otros Motivos:</t>
    </r>
  </si>
  <si>
    <r>
      <t xml:space="preserve">Establecimientos evaluados para ser corresponsales bancarios
</t>
    </r>
    <r>
      <rPr>
        <sz val="10"/>
        <rFont val="Soberana Sans"/>
        <family val="2"/>
      </rPr>
      <t xml:space="preserve"> Causa : No se cumplió con la meta programada, debido a una desaceleración en el número de establecimientos evaluados con restricciones presupuestales, así mismo hubo cambios en el personal operativo. Efecto: Menor cantidad de establecimientos evaluados. Otros Motivos:</t>
    </r>
  </si>
  <si>
    <r>
      <t xml:space="preserve">Nivel de cumplimiento de estándares
</t>
    </r>
    <r>
      <rPr>
        <sz val="10"/>
        <rFont val="Soberana Sans"/>
        <family val="2"/>
      </rPr>
      <t xml:space="preserve"> Causa : El resultado fue menor de lo programado, ya que se aplicó una evaluación más rigurosa; se revisaron con mayor detalle los servicios de crédito, seguros y remesas de los expedientes, en adición a la revisión de los saldos de ahorro. Efecto: La población incluida se verá beneficiada con una mayor calidad de integración de expedientes, y control de saldos y movimientos tanto en servicios de ahorro como de crédito, seguros y remesas. Otros Motivos:Es importante mencionar que el cálculo de la meta modificada de 2013 es incorrecto, toda vez que el numerador (44) entre el denominador (5), dan como resultado 8.8, y no 9.4 como el sistema registra; por lo anterior, el avance de la meta alcanzada/modificada considera el número correcto (8.8).</t>
    </r>
  </si>
  <si>
    <r>
      <t xml:space="preserve">Costo de los servicios de consultoría y apoyos a costos incrementales distribuidos vía los Agentes Técnicos.
</t>
    </r>
    <r>
      <rPr>
        <sz val="10"/>
        <rFont val="Soberana Sans"/>
        <family val="2"/>
      </rPr>
      <t xml:space="preserve"> Causa : No se logró el resultado esperado, derivado de que la meta se planeó de acuerdo a las fases  del Programa, no obstante, únicamente se autorizó  191.5 millones de pesos para este periodo. Efecto: Menos recursos para los agentes técnicos, sin embargo, por ser un proyecto plurianual, en 2014 se ajustarán los contratos para disminuir el ritmo operativo y adecuarlo a presupuesto disponible en 2014 y 2015. Otros Motivos:El avance presentado en el módulo de Cuenta Pública corresponde al dato definitivo del indicador, el cual se actualizó, ya que el avance presentado en el módulo de Evaluación de Desempeño fue un dato preliminar.</t>
    </r>
  </si>
  <si>
    <t>S001</t>
  </si>
  <si>
    <t>Programa de Subsidio a la Prima del Seguro Agropecuario</t>
  </si>
  <si>
    <t>GSA-Agroasemex, S.A.</t>
  </si>
  <si>
    <t>19 - Fomento y desarrollo del seguro agropecuario</t>
  </si>
  <si>
    <t>Contribuir al desarrollo del seguro y administración integral de riesgos del sector agropecuario.</t>
  </si>
  <si>
    <r>
      <t>Porcentaje de participación de las primas del seguro agrícola con subsidio del PSA en relación al total de primas de seguros agrícolas en el Sistema Nacional de Aseguramiento al Medio Rural (SNAMR).</t>
    </r>
    <r>
      <rPr>
        <i/>
        <sz val="10"/>
        <color indexed="30"/>
        <rFont val="Soberana Sans"/>
        <family val="3"/>
      </rPr>
      <t xml:space="preserve">
Indicador Seleccionado</t>
    </r>
  </si>
  <si>
    <t>[(Monto  en pesos de las primas de seguros agrícolas comerciales con subsidios del PSA en el año t) / (Monto  en pesos de las primas de seguros agrícolas con subsidio reportadas en el  SNAMR en el año t)] *100</t>
  </si>
  <si>
    <r>
      <t>Porcentaje de participación de las primas del seguro ganadero con subsidio del PSA en relación al total de primas de seguros ganaderos en el SNAMR.</t>
    </r>
    <r>
      <rPr>
        <i/>
        <sz val="10"/>
        <color indexed="30"/>
        <rFont val="Soberana Sans"/>
        <family val="3"/>
      </rPr>
      <t xml:space="preserve">
</t>
    </r>
  </si>
  <si>
    <t>[(Monto total en pesos de las primas de seguros ganaderos comerciales con subsidios del Programa en el año t) / (Monto total en pesos de las primas de seguros ganaderos con subsidio reportadas en el  SNAMR en el año t)] *100</t>
  </si>
  <si>
    <t>Incrementar la cobertura física con subsidio del PSA.</t>
  </si>
  <si>
    <r>
      <t>Tasa de variación del número de hectáreas apoyadas con subsidio del PSA</t>
    </r>
    <r>
      <rPr>
        <i/>
        <sz val="10"/>
        <color indexed="30"/>
        <rFont val="Soberana Sans"/>
        <family val="3"/>
      </rPr>
      <t xml:space="preserve">
</t>
    </r>
  </si>
  <si>
    <t>[((Número de hectáreas aseguradas con subsidio del PSA en el año t) / (Promedio  de las hectáreas  aseguradas con subsidio del PSA en los años t-1, t-2, t-3, t-4 y t-5) - 1)]*100.</t>
  </si>
  <si>
    <r>
      <t>Tasa de variación del número de unidades riesgo ganaderas apoyadas con subsidio del PSA.</t>
    </r>
    <r>
      <rPr>
        <i/>
        <sz val="10"/>
        <color indexed="30"/>
        <rFont val="Soberana Sans"/>
        <family val="3"/>
      </rPr>
      <t xml:space="preserve">
</t>
    </r>
  </si>
  <si>
    <t>[((Número de unidades riesgo ganaderas apoyadas con subsidio del PSA en el año t) / (Promedio de las unidades riesgo ganaderas  apoyadas con subsidio del PSA en los años t-1, t-2, t-3, t-4 y t-5) - 1)]*100.</t>
  </si>
  <si>
    <t>A El apoyo económico como subsidio a la prima del seguro disminuyó el costo de la prima que pagan los productores por los seguros agropecuarios.</t>
  </si>
  <si>
    <r>
      <t>Porcentaje de subsidio del PSA respecto de las primas totales del seguro ganadero.</t>
    </r>
    <r>
      <rPr>
        <i/>
        <sz val="10"/>
        <color indexed="30"/>
        <rFont val="Soberana Sans"/>
        <family val="3"/>
      </rPr>
      <t xml:space="preserve">
</t>
    </r>
  </si>
  <si>
    <t>[Monto en pesos del subsidio del PSA al seguro ganadero en el año t / Monto total en pesos de prima del seguro ganadero con subsidio del PSA en el año t] *100</t>
  </si>
  <si>
    <r>
      <t>Porcentaje de subsidio del PSA respecto de las primas totales del seguro agrícola.</t>
    </r>
    <r>
      <rPr>
        <i/>
        <sz val="10"/>
        <color indexed="30"/>
        <rFont val="Soberana Sans"/>
        <family val="3"/>
      </rPr>
      <t xml:space="preserve">
</t>
    </r>
  </si>
  <si>
    <t>[Monto en pesos del subsidio del PSA al seguro agrícola en el año t / Monto total en pesos de prima del seguro agrícola con subsidio del PSA en el año t] *100</t>
  </si>
  <si>
    <t>A 1 Recibir solicitudes de subsidio a la prima del seguro agropecuario.</t>
  </si>
  <si>
    <r>
      <t>Promedio diario de recepción de solicitudes.</t>
    </r>
    <r>
      <rPr>
        <i/>
        <sz val="10"/>
        <color indexed="30"/>
        <rFont val="Soberana Sans"/>
        <family val="3"/>
      </rPr>
      <t xml:space="preserve">
</t>
    </r>
  </si>
  <si>
    <t>[Número de solicitudes recibidas acumuladas en el año t / Número de días hábiles en el año t]   Núm. de solcitud se refiere a núm. de operaciónes de seguros recibidas.</t>
  </si>
  <si>
    <t>Solicitud</t>
  </si>
  <si>
    <t>Gestión-Eficiencia-Anual</t>
  </si>
  <si>
    <t>A 2 Ministrar el subsidio a la prima del seguro agropecuario.</t>
  </si>
  <si>
    <r>
      <t>Porcentaje de cumplimiento respecto del plazo normativo de atención</t>
    </r>
    <r>
      <rPr>
        <i/>
        <sz val="10"/>
        <color indexed="30"/>
        <rFont val="Soberana Sans"/>
        <family val="3"/>
      </rPr>
      <t xml:space="preserve">
</t>
    </r>
  </si>
  <si>
    <t>[Promedio del número de días de atención de solicitudes de subsidio en el período del año t / Número de días establecidos en las Reglas de Operación del PSA] * 100</t>
  </si>
  <si>
    <t>A 3 Supervisar la aplicación del subsidio a la Prima del Seguro Agropecuario.</t>
  </si>
  <si>
    <r>
      <t>Porcentaje de solicitudes de subsidio supervisadas respecto de las solicitudes de subsidio recibidas.</t>
    </r>
    <r>
      <rPr>
        <i/>
        <sz val="10"/>
        <color indexed="30"/>
        <rFont val="Soberana Sans"/>
        <family val="3"/>
      </rPr>
      <t xml:space="preserve">
</t>
    </r>
  </si>
  <si>
    <t>[Número de solicitudes de subsidio supervisadas en el período del año t / Número de solicitudes de subsidio recibidas en el período del año t] * 100</t>
  </si>
  <si>
    <t>Gestión-Eficacia-Anual</t>
  </si>
  <si>
    <t>A 4 Dictaminar las solicitudes de subsidio a la prima del seguro agropecuario.</t>
  </si>
  <si>
    <t>[Promedio del número de días de atención de solicitudes de subsidio en el período del año t / Número de días establecidos en las Reglas de Operación del Programa] * 100</t>
  </si>
  <si>
    <r>
      <t xml:space="preserve">Porcentaje de participación de las primas del seguro agrícola con subsidio del PSA en relación al total de primas de seguros agrícolas en el Sistema Nacional de Aseguramiento al Medio Rural (SNAMR).
</t>
    </r>
    <r>
      <rPr>
        <sz val="10"/>
        <rFont val="Soberana Sans"/>
        <family val="2"/>
      </rPr>
      <t xml:space="preserve"> Causa : Al cierre del ejercicio 2013 se registro una insuficiencia presupuestaria en el programa de subsidio a la prima del seguro agropecuario, por lo que fueron rechazadas solicitudes de subsidio del ramo agrícola.     Efecto: La meta alcanzada fue menor a la programada para el ejercicio 2013, por lo que un número mayor de productores se quedo sin cobertura o sin el beneficio de este programa. Otros Motivos:</t>
    </r>
  </si>
  <si>
    <r>
      <t xml:space="preserve">Porcentaje de participación de las primas del seguro ganadero con subsidio del PSA en relación al total de primas de seguros ganaderos en el SNAMR.
</t>
    </r>
    <r>
      <rPr>
        <sz val="10"/>
        <rFont val="Soberana Sans"/>
        <family val="2"/>
      </rPr>
      <t xml:space="preserve"> Causa : Incremento de las operaciones de seguro  de los fondos de aseguramiento, ya que en 2013 el fondo de la Confederacion Nacional Ganadera amplió su cobertura.      Efecto: En el ejercicio 2013 se protegió un mayor número de unidades riesgo al incrementarse la cobertura en un 637.4%      Otros Motivos:</t>
    </r>
  </si>
  <si>
    <r>
      <t xml:space="preserve">Tasa de variación del número de hectáreas apoyadas con subsidio del PSA
</t>
    </r>
    <r>
      <rPr>
        <sz val="10"/>
        <rFont val="Soberana Sans"/>
        <family val="2"/>
      </rPr>
      <t xml:space="preserve"> Causa : Incremento de la operaciones tanto en fondos de aseguramiento como de las aseguradoras privadas, debido a que en 2013 registraron operaciones que fueron rechazadas en 2012 por insuficiencia presupuestal del programa.     Efecto: Mayor número de hectáreas apoyadas con el programa de subsidio a la prima del seguro agropecuario     Otros Motivos:</t>
    </r>
  </si>
  <si>
    <r>
      <t xml:space="preserve">Tasa de variación del número de unidades riesgo ganaderas apoyadas con subsidio del PSA.
</t>
    </r>
    <r>
      <rPr>
        <sz val="10"/>
        <rFont val="Soberana Sans"/>
        <family val="2"/>
      </rPr>
      <t xml:space="preserve"> Causa : Incremento en las operaciones de los fondos de aseguramiento, por una mayor participación en el mercado del fondo de la Confederación Nacional Ganadera.      Efecto: Mayor número de unidades riesgo apoyadas con el programa del seguro a la prima del seguro agropecuario.      Otros Motivos:</t>
    </r>
  </si>
  <si>
    <r>
      <t xml:space="preserve">Porcentaje de subsidio del PSA respecto de las primas totales del seguro ganadero.
</t>
    </r>
    <r>
      <rPr>
        <sz val="10"/>
        <rFont val="Soberana Sans"/>
        <family val="2"/>
      </rPr>
      <t xml:space="preserve"> Causa : Incremento en las operaciones de los fondos de aseguramiento agropecuario , ya que el fondo de la Confederación Nacional Ganadera amplió su cobertura.      Efecto: Mayor número de unidades riesgo apoyadas con el programa de subsidio a la prima del seguro agropecuario.      Otros Motivos:</t>
    </r>
  </si>
  <si>
    <r>
      <t xml:space="preserve">Porcentaje de subsidio del PSA respecto de las primas totales del seguro agrícola.
</t>
    </r>
    <r>
      <rPr>
        <sz val="10"/>
        <rFont val="Soberana Sans"/>
        <family val="2"/>
      </rPr>
      <t xml:space="preserve"> Causa : Al cierre del ejercicio 2013 se registro una insuficiencia presupuestaria del programa de subsidio a la prima del seguro agropecuario, por lo que fueron rechazadas solicitudes de subsidio que impactaron el resultado del indicador.      Efecto: Menor volumen de primas apoyadas con el programa, y por lo tanto mayor costo para los productores agropecuarios      Otros Motivos:</t>
    </r>
  </si>
  <si>
    <r>
      <t xml:space="preserve">Promedio diario de recepción de solicitudes.
</t>
    </r>
    <r>
      <rPr>
        <sz val="10"/>
        <rFont val="Soberana Sans"/>
        <family val="2"/>
      </rPr>
      <t xml:space="preserve"> Causa : La insuficiencia presupuestaria registrada en 2012, generó  que a inicios de 2013 los integrantes del SNAMR presentarán  un mayor número de solicitudes a la habituales.      Efecto: Mayor número de productores beneficiados  durante 2013      Otros Motivos:</t>
    </r>
  </si>
  <si>
    <r>
      <t xml:space="preserve">Porcentaje de cumplimiento respecto del plazo normativo de atención
</t>
    </r>
    <r>
      <rPr>
        <sz val="10"/>
        <rFont val="Soberana Sans"/>
        <family val="2"/>
      </rPr>
      <t xml:space="preserve"> Causa : Con el uso de herramientas automatizadas se ha logrado atender  en un menor tiempo las solicitudes de recursos por parte de los beneficiarios del programa.      Efecto: Atención oportuna en la entrega de los recursos a los beneficiarios      Otros Motivos:</t>
    </r>
  </si>
  <si>
    <r>
      <t xml:space="preserve">Porcentaje de solicitudes de subsidio supervisadas respecto de las solicitudes de subsidio recibidas.
</t>
    </r>
    <r>
      <rPr>
        <sz val="10"/>
        <rFont val="Soberana Sans"/>
        <family val="2"/>
      </rPr>
      <t xml:space="preserve"> Causa : Con la aplicación estricta de la normatividad para verificar los requisitos de elegibilidad      Efecto: Mayor número de solicitudes presentadas por los beneficiarios      Otros Motivos:</t>
    </r>
  </si>
  <si>
    <r>
      <t xml:space="preserve">Porcentaje de cumplimiento respecto del plazo normativo de atención
</t>
    </r>
    <r>
      <rPr>
        <sz val="10"/>
        <rFont val="Soberana Sans"/>
        <family val="2"/>
      </rPr>
      <t xml:space="preserve"> Causa : Con el uso de herramientas automatizadas se ha logrado mejorar los tiempos de respuesta a los beneficiarios      Efecto: Atención oportuna en la entrega de los recursos a los beneficiarios      Otros Motivos:</t>
    </r>
  </si>
  <si>
    <t>S172</t>
  </si>
  <si>
    <t>Programa de Apoyo a los Fondos de Aseguramiento Agropecuario</t>
  </si>
  <si>
    <r>
      <t>Porcentaje de participación de la superficie agrícola asegurada por los Fondos de Aseguramiento.</t>
    </r>
    <r>
      <rPr>
        <i/>
        <sz val="10"/>
        <color indexed="30"/>
        <rFont val="Soberana Sans"/>
        <family val="3"/>
      </rPr>
      <t xml:space="preserve">
Indicador Seleccionado</t>
    </r>
  </si>
  <si>
    <t>[(Número de hectáreas aseguradas por los Fondos de Aseguramiento en el año t) / (Número total hectáreas con seguros comerciales en el país en el año t)]*100</t>
  </si>
  <si>
    <r>
      <t>Porcentaje de participación de las unidades riesgo ganaderas aseguradas por los Fondos de Aseguramiento.</t>
    </r>
    <r>
      <rPr>
        <i/>
        <sz val="10"/>
        <color indexed="30"/>
        <rFont val="Soberana Sans"/>
        <family val="3"/>
      </rPr>
      <t xml:space="preserve">
</t>
    </r>
  </si>
  <si>
    <t>[(Número de unidades riesgo ganaderas aseguradas por los Fondos de Aseguramiento en el año t) / (Número total unidades riesgo ganaderas con seguros comerciales/ en el país en el año t)]*100</t>
  </si>
  <si>
    <t>Incrementar la cobertura fisica asegurada por los fondos de aseguramiento.</t>
  </si>
  <si>
    <r>
      <t>Tasa de variación de la superficie agrícola asegurada por los Fondos de Aseguramiento.</t>
    </r>
    <r>
      <rPr>
        <i/>
        <sz val="10"/>
        <color indexed="30"/>
        <rFont val="Soberana Sans"/>
        <family val="3"/>
      </rPr>
      <t xml:space="preserve">
</t>
    </r>
  </si>
  <si>
    <t>[((Número de hectáreas aseguradas por los Fondos de Aseguramiento en el año t) / (Promedio  anual de las hectáreas  aseguradas por los Fondos de Aseguramiento en los años t-1, t-2, t-3, t-4 y t-5) - 1)]*100.</t>
  </si>
  <si>
    <r>
      <t>Tasa de variación de las unidades riesgo ganaderas aseguradas por los Fondos de Aseguramiento.</t>
    </r>
    <r>
      <rPr>
        <i/>
        <sz val="10"/>
        <color indexed="30"/>
        <rFont val="Soberana Sans"/>
        <family val="3"/>
      </rPr>
      <t xml:space="preserve">
</t>
    </r>
  </si>
  <si>
    <t>[((Número de unidades riesgo ganaderas aseguradas por los Fondos de Aseguramiento en el año t) / (Promedio  anual de las unidades riesgo ganaderas  aseguradas por los Fondos de Aseguramiento en los años t-1, t-2, t-3, t-4 y t-5) - 1)]*100.</t>
  </si>
  <si>
    <r>
      <t>Porcentaje de cumplimiento de los Organismos Integradores en el seguimiento de operaciones a los fondos de aseguramiento.</t>
    </r>
    <r>
      <rPr>
        <i/>
        <sz val="10"/>
        <color indexed="30"/>
        <rFont val="Soberana Sans"/>
        <family val="3"/>
      </rPr>
      <t xml:space="preserve">
</t>
    </r>
  </si>
  <si>
    <t>(Número de Fondos de Aseguramiento que recibieron el servicio de seguimiento de operaciones en el año t / Fondos de Aseguramiento en operación en el año t)*100</t>
  </si>
  <si>
    <t>Estratégico-Eficiencia-Anual</t>
  </si>
  <si>
    <t>A Apoyos para la capacidad técnica y económica de los Fondos de Aseguramiento y de sus Organismos Integradores.</t>
  </si>
  <si>
    <r>
      <t>Porcentaje de Fondos de Aseguramiento que reciben apoyo.</t>
    </r>
    <r>
      <rPr>
        <i/>
        <sz val="10"/>
        <color indexed="30"/>
        <rFont val="Soberana Sans"/>
        <family val="3"/>
      </rPr>
      <t xml:space="preserve">
</t>
    </r>
  </si>
  <si>
    <t>[(Número de Fondos de Aseguramiento apoyados en el año t) / (Número de Fondos de Aseguramiento en operación en el año t) *100.</t>
  </si>
  <si>
    <r>
      <t>Porcentaje de Organismos Integradores que reciben apoyo.</t>
    </r>
    <r>
      <rPr>
        <i/>
        <sz val="10"/>
        <color indexed="30"/>
        <rFont val="Soberana Sans"/>
        <family val="3"/>
      </rPr>
      <t xml:space="preserve">
</t>
    </r>
  </si>
  <si>
    <t>[(Número de Organismos Integradores apoyados en el año t) /(Número de Organismos Integradores en operación en el año t)] *100</t>
  </si>
  <si>
    <r>
      <t xml:space="preserve">Costos promedio de operación del componente de apoyo a Fondos. </t>
    </r>
    <r>
      <rPr>
        <i/>
        <sz val="10"/>
        <color indexed="30"/>
        <rFont val="Soberana Sans"/>
        <family val="3"/>
      </rPr>
      <t xml:space="preserve">
</t>
    </r>
  </si>
  <si>
    <t>(Monto total en pesos de gastos de Operación del PAFA para Fondos de Aseguramiento en el año t) / (Número de Fondos de Aseguramiento apoyados en el año t)</t>
  </si>
  <si>
    <t>Pesos</t>
  </si>
  <si>
    <r>
      <t>Costos promedio de operación del componente de apoyo a Organismos Integradores.</t>
    </r>
    <r>
      <rPr>
        <i/>
        <sz val="10"/>
        <color indexed="30"/>
        <rFont val="Soberana Sans"/>
        <family val="3"/>
      </rPr>
      <t xml:space="preserve">
</t>
    </r>
  </si>
  <si>
    <t>(Monto total en pesos de gastos de Operación del PAFA para Organismos Integradores en el año t) / (Número de Organismos Integradores apoyados trimestralmente en el año t)</t>
  </si>
  <si>
    <t>A 1 Recibir las solicitudes de los Fondos de Aseguramiento.</t>
  </si>
  <si>
    <r>
      <t>Promedio diario de solicitudes de apoyo recibidas en el período.</t>
    </r>
    <r>
      <rPr>
        <i/>
        <sz val="10"/>
        <color indexed="30"/>
        <rFont val="Soberana Sans"/>
        <family val="3"/>
      </rPr>
      <t xml:space="preserve">
</t>
    </r>
  </si>
  <si>
    <t>(Número de solicitudes recibidas en el año t) / (Número de días hábiles en el año t)</t>
  </si>
  <si>
    <t>A 2 Dictaminar solicitudes de los Fondos de Aseguramiento.</t>
  </si>
  <si>
    <r>
      <t>Porcentaje de cumplimiento del plazo normativo de atención.</t>
    </r>
    <r>
      <rPr>
        <i/>
        <sz val="10"/>
        <color indexed="30"/>
        <rFont val="Soberana Sans"/>
        <family val="3"/>
      </rPr>
      <t xml:space="preserve">
</t>
    </r>
  </si>
  <si>
    <t>[(Promedio de días transcurridos entre recepción y dictaminación de solicitudes en el año t))/(15 días normativos)]*100</t>
  </si>
  <si>
    <t>A 3 Ministrar los apoyos a los Fondos de Aseguramiento.</t>
  </si>
  <si>
    <t>[(Promedio de días transcurridos entre recepción y pago de apoyos de solicitudes dictaminadas positivas en el año t) / (15 días normativos)]*100</t>
  </si>
  <si>
    <t>A 4 Supervisar el apoyo ministrado a los Fondos de Aseguramiento.</t>
  </si>
  <si>
    <r>
      <t>Porcentaje de Fondos de Aseguramiento supervisados a distancia o presencial.</t>
    </r>
    <r>
      <rPr>
        <i/>
        <sz val="10"/>
        <color indexed="30"/>
        <rFont val="Soberana Sans"/>
        <family val="3"/>
      </rPr>
      <t xml:space="preserve">
</t>
    </r>
  </si>
  <si>
    <t>[(Número de Fondos de Aseguramiento supervisados en el año t) / (Número de Fondos de Aseguramiento que recibieron apoyos en el año t)] * 100.</t>
  </si>
  <si>
    <t>A 5 Recibir solicitudes de los Organismos Integradores.</t>
  </si>
  <si>
    <r>
      <t>Promedio diario de recepción de solicitudes de apoyo en el período.</t>
    </r>
    <r>
      <rPr>
        <i/>
        <sz val="10"/>
        <color indexed="30"/>
        <rFont val="Soberana Sans"/>
        <family val="3"/>
      </rPr>
      <t xml:space="preserve">
</t>
    </r>
  </si>
  <si>
    <t>A 6 Dictaminar y autorizar las solicitudes de los Organismos Integradores.</t>
  </si>
  <si>
    <t>[(Promedio de días transcurridos entre recepción y dictaminación de solicitudes en el año t) / (15 días normativos)]*100</t>
  </si>
  <si>
    <t>A 7 Ministrar los apoyos a los Organismos Integradores.</t>
  </si>
  <si>
    <r>
      <t>Porcentaje de cumplimiento del plazo normativo de atención</t>
    </r>
    <r>
      <rPr>
        <i/>
        <sz val="10"/>
        <color indexed="30"/>
        <rFont val="Soberana Sans"/>
        <family val="3"/>
      </rPr>
      <t xml:space="preserve">
</t>
    </r>
  </si>
  <si>
    <t>A 8 Supervisar los apoyos ministrados a los Organismo Integradores.</t>
  </si>
  <si>
    <r>
      <t>Porcentaje de Organismos Integradores supervisados.</t>
    </r>
    <r>
      <rPr>
        <i/>
        <sz val="10"/>
        <color indexed="30"/>
        <rFont val="Soberana Sans"/>
        <family val="3"/>
      </rPr>
      <t xml:space="preserve">
</t>
    </r>
  </si>
  <si>
    <t>[(Número de Organismos Integradores supervisados en el año t) / (Numero de Organismos Integradores que recibieron apoyos en el año t)] * 100.</t>
  </si>
  <si>
    <r>
      <t xml:space="preserve">Porcentaje de participación de la superficie agrícola asegurada por los Fondos de Aseguramiento.
</t>
    </r>
    <r>
      <rPr>
        <sz val="10"/>
        <rFont val="Soberana Sans"/>
        <family val="2"/>
      </rPr>
      <t xml:space="preserve"> Causa : Incremento en las operaciones de los fondos de aseguramiento y contracción de las operaciones de las aseguradoras privadas      Efecto: Mayor participación en las operaciones del sistema por parte de los fondos de aseguramiento      Otros Motivos:</t>
    </r>
  </si>
  <si>
    <r>
      <t xml:space="preserve">Porcentaje de participación de las unidades riesgo ganaderas aseguradas por los Fondos de Aseguramiento.
</t>
    </r>
    <r>
      <rPr>
        <sz val="10"/>
        <rFont val="Soberana Sans"/>
        <family val="2"/>
      </rPr>
      <t xml:space="preserve"> Causa : Incremento en las operaciones de los fondos de aseguramiento agropecuario, ya que el fondo de la Confederación Nacional Ganadera amplió su cobertura geográfica.     Efecto: Mayor número de unidades riesgo protegidas y un mayor número de productores beneficiados     Otros Motivos:</t>
    </r>
  </si>
  <si>
    <r>
      <t xml:space="preserve">Tasa de variación de la superficie agrícola asegurada por los Fondos de Aseguramiento.
</t>
    </r>
    <r>
      <rPr>
        <sz val="10"/>
        <rFont val="Soberana Sans"/>
        <family val="2"/>
      </rPr>
      <t xml:space="preserve"> Causa : Incremento en las operaciones de los fondos de aseguramiento agropecuario por operaciones que quedaron pendientes de pago en 2012 y la incorporación de nuevos fondos al seguro agropecuario        Efecto: En 2013 se observa una mayor penetración del seguro agrícola, lo que permitió que las inversiones realizadas por los productores agrícolas del país y su patrimonio estuviera protegido contra fenómenos climatológicos de alto impacto, evitando con ello la descapitalización de los productores.        Otros Motivos:</t>
    </r>
  </si>
  <si>
    <r>
      <t xml:space="preserve">Tasa de variación de las unidades riesgo ganaderas aseguradas por los Fondos de Aseguramiento.
</t>
    </r>
    <r>
      <rPr>
        <sz val="10"/>
        <rFont val="Soberana Sans"/>
        <family val="2"/>
      </rPr>
      <t xml:space="preserve"> Causa : Incremento en las operaciones de los fondos de aseguramiento agropecuario, ya que el fondo de la Confederación Nacional Ganadera amplió su cobertura geográfica.        Efecto: Mayor participación de los fondos de aseguramiento en las operaciones del seguro ganadero, lo que se traduce en un mayor número de productores pecuarios con inversiones protegidas, lo que permite evitar su descapitalización ante la presencia de enfermedades exóticas.        Otros Motivos:</t>
    </r>
  </si>
  <si>
    <r>
      <t xml:space="preserve">Porcentaje de cumplimiento de los Organismos Integradores en el seguimiento de operaciones a los fondos de aseguramiento.
</t>
    </r>
    <r>
      <rPr>
        <sz val="10"/>
        <rFont val="Soberana Sans"/>
        <family val="2"/>
      </rPr>
      <t xml:space="preserve"> Causa : Ampliación del volumen de la muestra por parte de los Organismos Integradores, ya que case supervisaron la totalidad de fondos.      Efecto: Mayor transparencia en las operaciones que realizan los fondos de aseguramiento , tanto en la etapa de suscripción como en la etapa de evaluación y ajuste de siniestros.      Otros Motivos:</t>
    </r>
  </si>
  <si>
    <r>
      <t xml:space="preserve">Porcentaje de Fondos de Aseguramiento que reciben apoyo.
</t>
    </r>
    <r>
      <rPr>
        <sz val="10"/>
        <rFont val="Soberana Sans"/>
        <family val="2"/>
      </rPr>
      <t xml:space="preserve"> Causa : Los beneficiarios no cumplen con los requisitos de elegibilidad y los plazos establecidos en las Reglas de Operación del Programa       Efecto: EL universo de figuras denominadas fondos de aseguramiento no se vieron beneficiados con los apoyos del programa.      Otros Motivos:</t>
    </r>
  </si>
  <si>
    <r>
      <t xml:space="preserve">Porcentaje de Organismos Integradores que reciben apoyo.
</t>
    </r>
    <r>
      <rPr>
        <sz val="10"/>
        <rFont val="Soberana Sans"/>
        <family val="2"/>
      </rPr>
      <t xml:space="preserve"> Causa : Los beneficiarios del programa cumplieron oportunamente con los requisitos de elegibilidad y plazos establecidos en las Reglas de Operación del Programa.      Efecto: El universo de Organismos Integradores (15) reciben oportunamente los apoyos del programa.      Otros Motivos:</t>
    </r>
  </si>
  <si>
    <r>
      <t xml:space="preserve">Costos promedio de operación del componente de apoyo a Fondos. 
</t>
    </r>
    <r>
      <rPr>
        <sz val="10"/>
        <rFont val="Soberana Sans"/>
        <family val="2"/>
      </rPr>
      <t xml:space="preserve"> Causa : Incremento del 50% en la asignación de recursos del programa y el número de Organismos sigue siendo el mismo.      Efecto: Mayor apalancamiento en su operación, lo cual permitió incrementar sustancialmente sus operaciones.      Otros Motivos:</t>
    </r>
  </si>
  <si>
    <r>
      <t xml:space="preserve">Costos promedio de operación del componente de apoyo a Organismos Integradores.
</t>
    </r>
    <r>
      <rPr>
        <sz val="10"/>
        <rFont val="Soberana Sans"/>
        <family val="2"/>
      </rPr>
      <t xml:space="preserve"> Causa : Incremento del 50% en la asignación de recursos del programa y el número de Organismos sigue siendo el mismo.      Efecto: Atención oportuna en la supervisión de las operaciones de los fondos de aseguramiento.      Otros Motivos:</t>
    </r>
  </si>
  <si>
    <r>
      <t xml:space="preserve">Promedio diario de solicitudes de apoyo recibidas en el período.
</t>
    </r>
    <r>
      <rPr>
        <sz val="10"/>
        <rFont val="Soberana Sans"/>
        <family val="2"/>
      </rPr>
      <t xml:space="preserve"> Causa : Incremento del 50% en la asignación de recursos del programa        Efecto: Mayor apalancamiento para las operaciones de los fondos de aseguramiento, lo cual permitió ampliar la cobertura de sus operaciones. Al contar con mayores recursos el programa respecto al año anterior (50% más) origino que un número mayor de beneficiarios presentarán solicitudes de apoyo.       Otros Motivos:</t>
    </r>
  </si>
  <si>
    <r>
      <t xml:space="preserve">Porcentaje de cumplimiento del plazo normativo de atención.
</t>
    </r>
    <r>
      <rPr>
        <sz val="10"/>
        <rFont val="Soberana Sans"/>
        <family val="2"/>
      </rPr>
      <t xml:space="preserve"> Causa : Uso de herramientas automatizadas permiten una mejor atención      Efecto: Una mayor eficiencia en la entrega de los recursos a los beneficiarios del programa       Otros Motivos:</t>
    </r>
  </si>
  <si>
    <r>
      <t xml:space="preserve">Porcentaje de cumplimiento del plazo normativo de atención.
</t>
    </r>
    <r>
      <rPr>
        <sz val="10"/>
        <rFont val="Soberana Sans"/>
        <family val="2"/>
      </rPr>
      <t xml:space="preserve"> Causa : Uso de herramientas automatizadas han permitido atender de manera oportuna todas las solicitudes que presentan los beneficiarios      Efecto: Mayor eficiencia en la entrega de los recursos del programa      Otros Motivos:</t>
    </r>
  </si>
  <si>
    <r>
      <t xml:space="preserve">Porcentaje de Fondos de Aseguramiento supervisados a distancia o presencial.
</t>
    </r>
    <r>
      <rPr>
        <sz val="10"/>
        <rFont val="Soberana Sans"/>
        <family val="2"/>
      </rPr>
      <t xml:space="preserve"> Causa : Durante 2013 no se realizaron supervisiones en la aplicación de los recursos del programa, ya que desde la recepción de las solicitudes de apoyo por parte de los beneficiarios se constató la correcta aplicación      Efecto: La aplicación de los recursos se llevó a cabo conforme a las reglas de operación del programa      Otros Motivos:</t>
    </r>
  </si>
  <si>
    <r>
      <t xml:space="preserve">Promedio diario de recepción de solicitudes de apoyo en el período.
</t>
    </r>
    <r>
      <rPr>
        <sz val="10"/>
        <rFont val="Soberana Sans"/>
        <family val="2"/>
      </rPr>
      <t xml:space="preserve"> Causa : Incremento en un 50% en la asignación de los recursos del programa, así como un número mayor de componentes en la operación del mismo       Efecto: Mayor número de solicitudes atendidas en el año. Al contar con mayores recursos el programa respecto al año anterior (50% más) originó que los beneficiarios presentarán un mayor número de solicitudes, mismas que fueron atendidas con mayor prontitud por el uso de herramientas informáticas.       Otros Motivos:</t>
    </r>
  </si>
  <si>
    <r>
      <t xml:space="preserve">Porcentaje de cumplimiento del plazo normativo de atención.
</t>
    </r>
    <r>
      <rPr>
        <sz val="10"/>
        <rFont val="Soberana Sans"/>
        <family val="2"/>
      </rPr>
      <t xml:space="preserve"> Causa : Uso de herramientas automatizadas han permitido atender en menor tiempo las solicitudes de apoyo      Efecto: Mayor eficiencia en la entrega de los recursos  a los beneficiarios  del programa      Otros Motivos:</t>
    </r>
  </si>
  <si>
    <r>
      <t xml:space="preserve">Porcentaje de cumplimiento del plazo normativo de atención
</t>
    </r>
    <r>
      <rPr>
        <sz val="10"/>
        <rFont val="Soberana Sans"/>
        <family val="2"/>
      </rPr>
      <t xml:space="preserve"> Causa : Uso de herramientas automatizadas han permitido atender de manera oportuna todas las solicitudes que presentan los beneficiarios      Efecto: Mayor eficiencia en la entrega de los recursos del programa      Otros Motivos:</t>
    </r>
  </si>
  <si>
    <r>
      <t xml:space="preserve">Porcentaje de Organismos Integradores supervisados.
</t>
    </r>
    <r>
      <rPr>
        <sz val="10"/>
        <rFont val="Soberana Sans"/>
        <family val="2"/>
      </rPr>
      <t xml:space="preserve"> Causa : Aplicación de las reglas de operación en estricto apego, ya que desde la recepción de las solicitudes de apoyo se constató su veracidad y correcta aplicación.     Efecto: Mayor transparencia en la entrega de los apoyos a los beneficiarios del programa     Otros Motivos:</t>
    </r>
  </si>
  <si>
    <t>S179</t>
  </si>
  <si>
    <t>Programa de Infraestructura Básica para la Atención de los Pueblos Indígenas (PIBAI)</t>
  </si>
  <si>
    <t>AYB-Comisión Nacional para el Desarrollo de los Pueblos Indígenas</t>
  </si>
  <si>
    <t>6 - Protección Social</t>
  </si>
  <si>
    <t>7 - Indígenas</t>
  </si>
  <si>
    <t>16 - Promoción y coordinación de las políticas publicas para el desarrollo de los pueblos y comunidades indígenas</t>
  </si>
  <si>
    <t>Contribuir a que los habitantes de las localidades indígenas elegibles (población potencial) superen el aislamiento y dispongan de bienes y servicios básicos mediante la construcción de obras de infraestructura básica.</t>
  </si>
  <si>
    <r>
      <t xml:space="preserve">Porcentaje de población que dispone del servicio de electrificación.       </t>
    </r>
    <r>
      <rPr>
        <i/>
        <sz val="10"/>
        <color indexed="30"/>
        <rFont val="Soberana Sans"/>
        <family val="3"/>
      </rPr>
      <t xml:space="preserve">
</t>
    </r>
  </si>
  <si>
    <t xml:space="preserve">(Población de localidades elegibles  con servicio de electrificación 2010/ Población  total de las localidades elegibles 2010)*100            </t>
  </si>
  <si>
    <t>Estratégico-Eficacia-Quinquenal</t>
  </si>
  <si>
    <r>
      <t>Porcentaje de  población que dispone de comunicación terrestre</t>
    </r>
    <r>
      <rPr>
        <i/>
        <sz val="10"/>
        <color indexed="30"/>
        <rFont val="Soberana Sans"/>
        <family val="3"/>
      </rPr>
      <t xml:space="preserve">
</t>
    </r>
  </si>
  <si>
    <t>(Población de localidades indígenas elegibles que cuentan con una carretera pavimentada en 2010/ Población total de las localidades elegibles 2010)*100</t>
  </si>
  <si>
    <r>
      <t xml:space="preserve">Porcentaje de población que dispone del servicio de agua potable       </t>
    </r>
    <r>
      <rPr>
        <i/>
        <sz val="10"/>
        <color indexed="30"/>
        <rFont val="Soberana Sans"/>
        <family val="3"/>
      </rPr>
      <t xml:space="preserve">
</t>
    </r>
  </si>
  <si>
    <t>(Población de localidades elegibles  con servicio de agua potable 2010/ Población  total de las localidades elegibles 2010)*100</t>
  </si>
  <si>
    <r>
      <t xml:space="preserve">Porcentaje de población que dispone del servicio de drenaje y saneamiento       </t>
    </r>
    <r>
      <rPr>
        <i/>
        <sz val="10"/>
        <color indexed="30"/>
        <rFont val="Soberana Sans"/>
        <family val="3"/>
      </rPr>
      <t xml:space="preserve">
</t>
    </r>
  </si>
  <si>
    <t xml:space="preserve">(Población de localidades elegibles  con servicio de drenaje y saneamiento 2010/ Población  total de las localidades elegibles 2010)*100         </t>
  </si>
  <si>
    <t>Habitantes de localidades indígenas elegibles (población potencial) disminuyen su rezago en infraestructura básica</t>
  </si>
  <si>
    <r>
      <t>Porcentaje de reducción del rezago en comunicación terrestre</t>
    </r>
    <r>
      <rPr>
        <i/>
        <sz val="10"/>
        <color indexed="30"/>
        <rFont val="Soberana Sans"/>
        <family val="3"/>
      </rPr>
      <t xml:space="preserve">
Indicador Seleccionado</t>
    </r>
  </si>
  <si>
    <t>(Población atendida en el año t y años anteriores con obras de comunicación terrestre/ Población elegible sin comunicación terrestre año 2010)*100</t>
  </si>
  <si>
    <r>
      <t>Porcentaje de reducción del rezago en electrificación</t>
    </r>
    <r>
      <rPr>
        <i/>
        <sz val="10"/>
        <color indexed="30"/>
        <rFont val="Soberana Sans"/>
        <family val="3"/>
      </rPr>
      <t xml:space="preserve">
</t>
    </r>
  </si>
  <si>
    <t>(Población atendida en el año t y años anteriores con obras de electrificación/ Población elegible sin electrificación año 2010)*100</t>
  </si>
  <si>
    <r>
      <t>Porcentaje de reducción del rezago en drenaje y saneamiento.</t>
    </r>
    <r>
      <rPr>
        <i/>
        <sz val="10"/>
        <color indexed="30"/>
        <rFont val="Soberana Sans"/>
        <family val="3"/>
      </rPr>
      <t xml:space="preserve">
</t>
    </r>
  </si>
  <si>
    <t xml:space="preserve">(Población atendida en el año t y años anteriores con obras de drenaje y saneamiento/ Población elegible sin drenaje y saneamiento año 2010)*100         </t>
  </si>
  <si>
    <r>
      <t>Porcentaje de reducción del rezago en agua potable</t>
    </r>
    <r>
      <rPr>
        <i/>
        <sz val="10"/>
        <color indexed="30"/>
        <rFont val="Soberana Sans"/>
        <family val="3"/>
      </rPr>
      <t xml:space="preserve">
</t>
    </r>
  </si>
  <si>
    <t>(Población atendida en el año t y años anteriores con obras de agua potable/ Población elegible sin agua potable año 2010)*100</t>
  </si>
  <si>
    <t>A Obras de drenaje y saneamiento, agua potable, electrificación y comunicación terrestre disponibles para la población ubicada en localidades indígenas elegibles (población potencial).</t>
  </si>
  <si>
    <r>
      <t>Porcentaje de población beneficiada con obras de comunicación terrestre</t>
    </r>
    <r>
      <rPr>
        <i/>
        <sz val="10"/>
        <color indexed="30"/>
        <rFont val="Soberana Sans"/>
        <family val="3"/>
      </rPr>
      <t xml:space="preserve">
Indicador Seleccionado</t>
    </r>
  </si>
  <si>
    <t>(Población beneficiada con obras de comunicación terrestre / población total elegible)*100</t>
  </si>
  <si>
    <r>
      <t>Porcentaje de población beneficiada con obras de drenaje y saneamiento</t>
    </r>
    <r>
      <rPr>
        <i/>
        <sz val="10"/>
        <color indexed="30"/>
        <rFont val="Soberana Sans"/>
        <family val="3"/>
      </rPr>
      <t xml:space="preserve">
</t>
    </r>
  </si>
  <si>
    <t>(Población beneficiada con obras de drenaje y saneamiento / población total elegible*100</t>
  </si>
  <si>
    <r>
      <t>Porcentaje de población beneficiada con obras  de electrificación</t>
    </r>
    <r>
      <rPr>
        <i/>
        <sz val="10"/>
        <color indexed="30"/>
        <rFont val="Soberana Sans"/>
        <family val="3"/>
      </rPr>
      <t xml:space="preserve">
</t>
    </r>
  </si>
  <si>
    <t>(Población beneficiada con obras de electrificación / población total elegible)*100</t>
  </si>
  <si>
    <r>
      <t>Porcentaje de población beneficiada con obras de agua potable</t>
    </r>
    <r>
      <rPr>
        <i/>
        <sz val="10"/>
        <color indexed="30"/>
        <rFont val="Soberana Sans"/>
        <family val="3"/>
      </rPr>
      <t xml:space="preserve">
</t>
    </r>
  </si>
  <si>
    <t>(Población beneficiada con obras de agua potable / Población total elegible)*100</t>
  </si>
  <si>
    <t>A 1 Control y evaluación de acciones y recursos del Programa</t>
  </si>
  <si>
    <r>
      <t>Porcentaje de obras con servicios de supervisión</t>
    </r>
    <r>
      <rPr>
        <i/>
        <sz val="10"/>
        <color indexed="30"/>
        <rFont val="Soberana Sans"/>
        <family val="3"/>
      </rPr>
      <t xml:space="preserve">
</t>
    </r>
  </si>
  <si>
    <t>(Número de obras supervisadas/ Número de obras contratadas)*100</t>
  </si>
  <si>
    <t>Gestión-Eficiencia-Mensual</t>
  </si>
  <si>
    <r>
      <t>Porcentaje de obras con contraloría social</t>
    </r>
    <r>
      <rPr>
        <i/>
        <sz val="10"/>
        <color indexed="30"/>
        <rFont val="Soberana Sans"/>
        <family val="3"/>
      </rPr>
      <t xml:space="preserve">
</t>
    </r>
  </si>
  <si>
    <t>(Número de obras con contraloría social/ Número de obras con contraloría social programadas)*100</t>
  </si>
  <si>
    <r>
      <t>Porcentaje de efectividad de ejecución de obras y acciones</t>
    </r>
    <r>
      <rPr>
        <i/>
        <sz val="10"/>
        <color indexed="30"/>
        <rFont val="Soberana Sans"/>
        <family val="3"/>
      </rPr>
      <t xml:space="preserve">
</t>
    </r>
  </si>
  <si>
    <t>(Número de obras y acciones concluidas en plazo de ejercicio/ Número de obras y acciones contratadas)*100</t>
  </si>
  <si>
    <t>A 2 Programación y presupuestación de acciones y recursos del Programa</t>
  </si>
  <si>
    <r>
      <t>Proporción de participación financiera de gobiernos locales y dependencias federales</t>
    </r>
    <r>
      <rPr>
        <i/>
        <sz val="10"/>
        <color indexed="30"/>
        <rFont val="Soberana Sans"/>
        <family val="3"/>
      </rPr>
      <t xml:space="preserve">
</t>
    </r>
  </si>
  <si>
    <t>Aportación de recursos de entidades / Total de recursos del Programa</t>
  </si>
  <si>
    <t>Proporción</t>
  </si>
  <si>
    <t>A 3 Operación y seguimiento de acciones y recursos del Programa</t>
  </si>
  <si>
    <r>
      <t>Porcentaje de avance en el ejercicio del presupuesto</t>
    </r>
    <r>
      <rPr>
        <i/>
        <sz val="10"/>
        <color indexed="30"/>
        <rFont val="Soberana Sans"/>
        <family val="3"/>
      </rPr>
      <t xml:space="preserve">
</t>
    </r>
  </si>
  <si>
    <t>(Presupuesto ejercido/ Presupuesto total programado)*100</t>
  </si>
  <si>
    <r>
      <t>Porcentaje de avance físico de ejecución de obras y acciones</t>
    </r>
    <r>
      <rPr>
        <i/>
        <sz val="10"/>
        <color indexed="30"/>
        <rFont val="Soberana Sans"/>
        <family val="3"/>
      </rPr>
      <t xml:space="preserve">
</t>
    </r>
  </si>
  <si>
    <t>(Avance físico/ Calendario de ejecución programado)*100</t>
  </si>
  <si>
    <r>
      <t>Porcentaje de obras y acciones contratadas</t>
    </r>
    <r>
      <rPr>
        <i/>
        <sz val="10"/>
        <color indexed="30"/>
        <rFont val="Soberana Sans"/>
        <family val="3"/>
      </rPr>
      <t xml:space="preserve">
</t>
    </r>
  </si>
  <si>
    <t>(Número de obras y acciones contratadas/ Número de obras y acciones programadas)*100</t>
  </si>
  <si>
    <r>
      <t xml:space="preserve">Porcentaje de población que dispone del servicio de electrificación.       
</t>
    </r>
    <r>
      <rPr>
        <sz val="10"/>
        <rFont val="Soberana Sans"/>
        <family val="2"/>
      </rPr>
      <t xml:space="preserve"> Causa : Se superó la meta programada, el Programa estimó que al menos el 88.6% de su población elegible ya contara con el servicio de drenaje y saneamiento y de acuerdo a las cifras arrojadas por el Censo de Población y Vivienda 2010, ese porcentaje es de 90.51%, aun considerando el incremento en el número de personas elegibles del Programa.    Cabe señalar que las condiciones de elegibilidad no se modificaron (40% de población indígena, alta y muy alta marginación y de 50 a 15 mil habitantes). Efecto: No se identifica impacto económico. Otros Motivos:</t>
    </r>
  </si>
  <si>
    <r>
      <t xml:space="preserve">Porcentaje de  población que dispone de comunicación terrestre
</t>
    </r>
    <r>
      <rPr>
        <sz val="10"/>
        <rFont val="Soberana Sans"/>
        <family val="2"/>
      </rPr>
      <t xml:space="preserve"> Causa : Para registrar los cambios del indicador durante el periodo 2005-2009, el Programa definió su línea base y metas a partir de información del Inventario Nacional de Infraestructura para el Transporte (SCT-IMT), considerándose que una localidad se encontraba comunicada cuando se situaba a menos de tres kilómetros de una carretera pavimentada. En esta situación se encontraban 3.8 de las 6.5 millones de personas que habitaban las localidades elegibles por el Programa.        El sentido del indicador era comparar los porcentajes de población elegible que se encontraban comunicados con base en el Conteo 2005 y los que cumplirían esa condición de acuerdo al Censo de Población 2010, a efecto de constatar los avances logrados y la aportación del Programa al abatimiento del rezago. Sin embargo, el Inventario antes citado nunca fue actualizado y el Censo 2010 no dispone de información que permita calcular el valor del indicador en los términos originales.        La información con la que se dispone a partir del Censo 2010, considera que una localidad se encuentra comunicada cuando cuenta con un camino pavimentado, reflejando que 2.8 millones de personas se encuentran en esa situación.        Por anterior, no es posible corroborar la contribución que el Programa realiza al abatimiento del rezago con base en la información de los medios de verificación actuales. Efecto: No se identifica impacto económico. Otros Motivos:</t>
    </r>
  </si>
  <si>
    <r>
      <t xml:space="preserve">Porcentaje de población que dispone del servicio de agua potable       
</t>
    </r>
    <r>
      <rPr>
        <sz val="10"/>
        <rFont val="Soberana Sans"/>
        <family val="2"/>
      </rPr>
      <t xml:space="preserve"> Causa : Se logró la meta programada, el Programa estimó que al menos el 64.8% de su población elegible ya contara con el servicio de agua potable y de acuerdo a las cifras arrojadas por el Censo de Población y Vivienda 2010, ese porcentaje es de 65.2%, aun considerando el incremento en el número de personas elegibles del Programa.      Cabe señalar que las condiciones de elegibilidad no se modificaron (40% de población indígena, alta y muy alta marginación y de 50 a 15 mil habitantes). Efecto: No se identifica impacto económico. Otros Motivos:</t>
    </r>
  </si>
  <si>
    <r>
      <t xml:space="preserve">Porcentaje de población que dispone del servicio de drenaje y saneamiento       
</t>
    </r>
    <r>
      <rPr>
        <sz val="10"/>
        <rFont val="Soberana Sans"/>
        <family val="2"/>
      </rPr>
      <t xml:space="preserve"> Causa : Se superó la meta programada, el Programa estimó que al menos el 36.84% de su población elegible ya contara con el servicio de drenaje y saneamiento y de acuerdo a las cifras arrojadas por el Censo de Población y Vivienda 2010, ese porcentaje es de 48.26%, aun considerando el incremento en el número de personas elegibles del Programa.     Cabe señalar que las condiciones de elegibilidad no se modificaron (40% de población indígena, alta y muy alta marginación y de 50 a 15 mil habitantes). Efecto: No se identifica impacto económico. Otros Motivos:</t>
    </r>
  </si>
  <si>
    <r>
      <t xml:space="preserve">Porcentaje de reducción del rezago en comunicación terrestre
</t>
    </r>
    <r>
      <rPr>
        <sz val="10"/>
        <rFont val="Soberana Sans"/>
        <family val="2"/>
      </rPr>
      <t xml:space="preserve"> Causa : Durante el 2013, a través del Programa de Infraestructura Básica para la Atención de los Pueblos Indígenas (PIBAI) se ejecutaron 335 obras/ acciones de comunicación terrestre. De estas 186 se refieren a obras de continuidad que serán concluidas durante 2014 y en algunos casos en ejercicios posteriores. Los beneficios de estas obras y acciones se verán reflejados en el indicador, una vez que se concluya su ejecución. Asimismo, se realizaron 28 estudios y proyectos, encaminados a fortalecer la cartera de proyectos a ejecutar en el ejercicio 2014.                 Cabe señalar que gracias a las acciones implementadas este año se logró la suscripción de 18 convenios de electrificación con CFE, quien aportó recursos adicionales, con lo cual no solo se incrementó el número de beneficiarios de este tipo de apoyo sino que, indirectamente, al potencializarse los recursos con las aportaciones realizadas por la CFE y los gobiernos estatales para estos convenios, fue posible apoyar, con recursos adicionales, la ejecución de obras adicionales en otros tipos de apoyo, incluido comunicación terrestre, logrando con ello superar la meta programada. Efecto: Los beneficios económicos y sociales alcanzados con este indicador de propósito, permitieron avanzar en el fortalecimiento de la estrategia de fomento al bienestar de los pueblos y comunidades indígenas. Al respecto destaca lo siguiente:      - Se supera el aislamiento geográfico en que se encontraban 204 localidades indígenas elegibles.     -  La conclusión de la obras y acciones de comunicación terrestre ejecutadas por el Programa, inciden de manera determinante en el acceso a otros servicios básicos, vinculados a favorecer una vida digna de los habitantes de las localidades beneficiadas.      - Con lo anterior, la CDI, a través del PIBAI, contribuye al fortalecimiento de la infraestructura básica en las regiones indígenas, lo cual está vinculado a la línea de acción "Asegurar el ejercicio de los derechos de los pueblos y comunidades indígenas en materia de alimentación, salud, educación e infraestructura básica" del Plan Nacional de Desarrollo 2013-2018. Otros Motivos:</t>
    </r>
  </si>
  <si>
    <r>
      <t xml:space="preserve">Porcentaje de reducción del rezago en electrificación
</t>
    </r>
    <r>
      <rPr>
        <sz val="10"/>
        <rFont val="Soberana Sans"/>
        <family val="2"/>
      </rPr>
      <t xml:space="preserve"> Causa : El PIBAI opera preponderantemente en atención a la demanda presentada de sus localidades elegibles consignadas en sus Reglas de Operación, en este contexto, durante el 2013, se concertaron y ejecutaron 592 obras/ acciones de electrificación que permitieron abatir el rezago de poco más de 503 mil habitantes de localidades elegibles del Programa, en los últimos cuatro años. Adicionalmente existen 25 obras de continuidad cuyos resultados se verán reflejados en el indicador una vez que se concluya su ejecución y se realizaron 5 estudios y proyectos, encaminados a fortalecer la cartera de proyectos a ejecutar en el ejercicio 2014.          Cabe señalar que gracias a las acciones implementadas este año se logró la suscripción de 18 convenios de electrificación con CFE, quien aportó recursos adicionales, con lo cual se incrementó el número de beneficiarios de este tipo de apoyo, logrando con ello superar la meta programada. Efecto: No se identifica impacto económico. Otros Motivos:</t>
    </r>
  </si>
  <si>
    <r>
      <t xml:space="preserve">Porcentaje de reducción del rezago en drenaje y saneamiento.
</t>
    </r>
    <r>
      <rPr>
        <sz val="10"/>
        <rFont val="Soberana Sans"/>
        <family val="2"/>
      </rPr>
      <t xml:space="preserve"> Causa : 10) Otras explicaciones a las variaciones, cuando se trate de resultados por encima del 100 por ciento del cumplimiento.     El PIBAI opera preponderantemente en atención a la demanda presentada de sus localidades elegibles consignadas en sus Reglas de Operación, en este contexto, durante el 2013, se concertaron y ejecutaron 214 obras/ acciones de drenaje y saneamiento que permitieron abatir el rezago de aproximadamente 327 mil habitantes de localidades elegibles del Programa, en los últimos cuatro años. Adicionalmente existen 51 obras de continuidad cuyos resultados se verán reflejados en el indicador una vez que se concluya su ejecución y se realizaron 65 estudios y proyectos, encaminados a fortalecer la cartera de proyectos a ejecutar en el ejercicio 2014.          Cabe señalar que gracias a las acciones implementadas este año se logró la suscripción de 18 convenios de electrificación con CFE, quien aportó recursos adicionales, con lo cual no solo se incrementó el número de beneficiarios de este tipo de apoyo sino que, indirectamente, al potencializarse los recursos con las aportaciones realizadas por la CFE y los gobiernos estatales para estos convenios, fue posible apoyar, con recursos adicionales, la ejecución de obras adicionales en otros tipos de apoyo, incluido drenaje y saneamiento, logrando con ello superar la meta programada. Efecto: No se identifica impacto económico. Otros Motivos:</t>
    </r>
  </si>
  <si>
    <r>
      <t xml:space="preserve">Porcentaje de reducción del rezago en agua potable
</t>
    </r>
    <r>
      <rPr>
        <sz val="10"/>
        <rFont val="Soberana Sans"/>
        <family val="2"/>
      </rPr>
      <t xml:space="preserve"> Causa : El PIBAI opera preponderantemente en atención a la demanda presentada de sus localidades elegibles consignadas en sus Reglas de Operación, en este contexto, durante el 2013, se concertaron y ejecutaron 418 obras/ acciones de agua potable que permitieron  el abatimiento del rezago de aproximadamente 392 mil habitantes de localidades elegibles del Programa, en los últimos cuatro años. Adicionalmente existen 23 obras de continuidad cuyos resultados se verán reflejados en el indicador una vez que se concluya su ejecución y se realizaron 112 estudios y proyectos, encaminados a fortalecer la cartera de proyectos a ejecutar en el ejercicio 2014.          Cabe señalar que gracias a las acciones implementadas este año se logró la suscripción de 18 convenios de electrificación con CFE, quien aportó recursos adicionales, con lo cual no solo se incrementó el número de beneficiarios de este tipo de apoyo sino que, indirectamente, al potencializarse los recursos con las aportaciones realizadas por la CFE y los gobiernos estatales para estos convenios, fue posible apoyar, con recursos adicionales, la ejecución de obras adicionales en otros tipos de apoyo, incluido agua potable, logrando con ello superar la meta programada. Efecto: No se identifica impacto económico. Otros Motivos:</t>
    </r>
  </si>
  <si>
    <r>
      <t xml:space="preserve">Porcentaje de población beneficiada con obras de comunicación terrestre
</t>
    </r>
    <r>
      <rPr>
        <sz val="10"/>
        <rFont val="Soberana Sans"/>
        <family val="2"/>
      </rPr>
      <t xml:space="preserve"> Causa : Durante el 2013, a través del Programa de Infraestructura Básica para la Atención de los Pueblos Indígenas (PIBAI) se ejecutaron 335 obras/ acciones de comunicación terrestre. De estas 186 se refieren a obras de continuidad que serán concluidas durante 2014 y en algunos casos en ejercicios posteriores. Los beneficios de estas obras y acciones se verán reflejados en el indicador, una vez que se concluya su ejecución. Asimismo, se realizaron 28 estudios y proyectos, encaminados a fortalecer la cartera de proyectos a ejecutar en el ejercicio 2014.                 Cabe señalar que gracias a las acciones implementadas este año se logró la suscripción de 18 convenios de electrificación con CFE, quien aportó recursos adicionales, con lo cual no solo se incrementó el número de beneficiarios de este tipo de apoyo sino que, indirectamente, al potencializarse los recursos con las aportaciones realizadas por la CFE y los gobiernos estatales para estos convenios, fue posible apoyar, con recursos adicionales, la ejecución de obras adicionales en otros tipos de apoyo, incluido comunicación terrestre, logrando con ello superar la meta programada. Efecto: Los beneficios económicos y sociales alcanzados con este indicador de componente, permitieron avanzar en el fortalecimiento de la estrategia de fomento al bienestar de los pueblos y comunidades indígenas. Al respecto destaca lo siguiente:       - Se supera el aislamiento geográfico en que se encontraban 204 localidades indígenas elegibles.       - La conclusión de la obras y acciones de comunicación terrestre ejecutadas por el Programa, inciden de manera determinante en el acceso a otros servicios básicos, vinculados a favorecer una vida digna de los habitantes de las localidades beneficiadas.       - Con lo anterior, la CDI, a través del PIBAI, contribuye al fortalecimiento de la infraestructura básica en las regiones indígenas, lo cual está vinculado a la línea de acción "Asegurar el ejercicio de los derechos de los pueblos y comunidades indígenas en materia de alimentación, salud, educación e infraestructura básica" del Plan Nacional de Desarrollo 2013-2018. Otros Motivos:</t>
    </r>
  </si>
  <si>
    <r>
      <t xml:space="preserve">Porcentaje de población beneficiada con obras de drenaje y saneamiento
</t>
    </r>
    <r>
      <rPr>
        <sz val="10"/>
        <rFont val="Soberana Sans"/>
        <family val="2"/>
      </rPr>
      <t xml:space="preserve"> Causa : El PIBAI opera preponderantemente en atención a la demanda presentada de sus localidades elegibles consignadas en sus Reglas de Operación, en este contexto, durante el 2013, se concertaron y ejecutaron 214 obras/ acciones de drenaje y saneamiento que permitieron abatir el rezago de aproximadamente 327 mil habitantes de localidades elegibles del Programa, en los últimos cuatro años. Adicionalmente existen 51 obras de continuidad cuyos resultados se verán reflejados en el indicador una vez que se concluya su ejecución y se realizaron 65 estudios y proyectos, encaminados a fortalecer la cartera de proyectos a ejecutar en el ejercicio 2014.            Cabe señalar que gracias a las acciones implementadas este año se logró la suscripción de 18 convenios de electrificación con CFE, quien aportó recursos adicionales, con lo cual no solo se incrementó el número de beneficiarios de este tipo de apoyo sino que, indirectamente, al potencializarse los recursos con las aportaciones realizadas por la CFE y los gobiernos estatales para estos convenios, fue posible apoyar, con recursos adicionales, la ejecución de obras adicionales en otros tipos de apoyo, incluido drenaje y saneamiento, logrando con ello obtener un resultado óptimo con relación a la meta programada. Efecto: No se identifica impacto económico. Otros Motivos:</t>
    </r>
  </si>
  <si>
    <r>
      <t xml:space="preserve">Porcentaje de población beneficiada con obras  de electrificación
</t>
    </r>
    <r>
      <rPr>
        <sz val="10"/>
        <rFont val="Soberana Sans"/>
        <family val="2"/>
      </rPr>
      <t xml:space="preserve"> Causa : El PIBAI opera preponderantemente en atención a la demanda presentada de sus localidades elegibles consignadas en sus Reglas de Operación, en este contexto, durante el 2013, se concertaron y ejecutaron 592 obras/ acciones de electrificación que permitieron abatir el rezago de poco más de 503 mil habitantes de localidades elegibles del Programa, en los últimos cuatro años. Adicionalmente existen 25 obras de continuidad cuyos resultados se verán reflejados en el indicador una vez que se concluya su ejecución y se realizaron 5 estudios y proyectos, encaminados a fortalecer la cartera de proyectos a ejecutar en el ejercicio 2014.          Cabe señalar que gracias a las acciones implementadas este año se logró la suscripción de 18 convenios de electrificación con CFE, quien aportó recursos adicionales, con lo cual se incrementó el número de beneficiarios de este tipo de apoyo, logrando con ello superar la meta programada. Efecto: No se identifica impacto económico. Otros Motivos:</t>
    </r>
  </si>
  <si>
    <r>
      <t xml:space="preserve">Porcentaje de población beneficiada con obras de agua potable
</t>
    </r>
    <r>
      <rPr>
        <sz val="10"/>
        <rFont val="Soberana Sans"/>
        <family val="2"/>
      </rPr>
      <t xml:space="preserve"> Causa : El PIBAI opera preponderantemente en atención a la demanda presentada de sus localidades elegibles consignadas en sus Reglas de Operación, en este contexto, durante el 2013, se concertaron y ejecutaron 418 obras/ acciones de agua potable logrando con ello superar la meta programada para el ejercicio. Adicionalmente existen 25 obras de continuidad cuyos resultados se verán reflejados en el indicador una vez que se concluya su ejecución y se realizaron 112 estudios y proyectos, encaminados a fortalecer la cartera de proyectos a ejecutar en el ejercicio 2014.          Cabe señalar que gracias a las acciones implementadas este año se logró la suscripción de 18 convenios de electrificación con CFE, quien aportó recursos adicionales, con lo cual no solo se incrementó el número de beneficiarios de este tipo de apoyo sino que, indirectamente, al contar con dichos recursos se pudo programar la ejecución de un mayor número de obras en los otros tipos de apoyo. Efecto: No se identifica impacto económico. Otros Motivos:</t>
    </r>
  </si>
  <si>
    <r>
      <t xml:space="preserve">Porcentaje de obras con servicios de supervisión
</t>
    </r>
    <r>
      <rPr>
        <sz val="10"/>
        <rFont val="Soberana Sans"/>
        <family val="2"/>
      </rPr>
      <t xml:space="preserve"> Causa :  Se logra la meta programada, las 930 obras contratadas al cierre del ejercicio, en el marco de los Acuerdos de Coordinación suscritos o por ejecucion directa,  contaron con servicio de supervisión. Efecto: No se identifica impacto económico. Otros Motivos:</t>
    </r>
  </si>
  <si>
    <r>
      <t xml:space="preserve">Porcentaje de obras con contraloría social
</t>
    </r>
    <r>
      <rPr>
        <sz val="10"/>
        <rFont val="Soberana Sans"/>
        <family val="2"/>
      </rPr>
      <t xml:space="preserve"> Causa : Se supera la meta programada. Se formalizaron Comités de Contraloría Social en una cantidad mayor a la programada gracias al interés  que la población beneficiada sigue manifestando en la ejecución e las obras que se realizan en su beneficio y al hecho de que las Delegaciones Estatales se han propuesto superar la meta del 40% de obras con comités. Cabe señalar que las 492 comités representan el 53% de cobertura en relación a las 930 obras contratadas. Efecto: No se identifica impacto económico. Otros Motivos:</t>
    </r>
  </si>
  <si>
    <r>
      <t xml:space="preserve">Porcentaje de efectividad de ejecución de obras y acciones
</t>
    </r>
    <r>
      <rPr>
        <sz val="10"/>
        <rFont val="Soberana Sans"/>
        <family val="2"/>
      </rPr>
      <t xml:space="preserve"> Causa : Se logró la meta programada ya que las 1,561 obras y acciones contratadas durante el ejercicio al amparo de los Acuerdos de Coordinación, Convenios de Colaboración  o bien por ejecución directa  fueron ejecutadas de acuerdo a las metas establecidas.        Cabe señalar que gracias a las acciones implementadas este año se logró la suscripción de 18 convenios de electrificación con CFE, quien aportó recursos adicionales, con lo cual no solo se incrementó el número de acciones de este tipo de apoyo sino que, indirectamente, al contar con dichos recursos se pudo programar la ejecución de un mayor número de obras en los otros tipos de apoyo. Efecto: No se identifica impacto económico. Otros Motivos:</t>
    </r>
  </si>
  <si>
    <r>
      <t xml:space="preserve">Proporción de participación financiera de gobiernos locales y dependencias federales
</t>
    </r>
    <r>
      <rPr>
        <sz val="10"/>
        <rFont val="Soberana Sans"/>
        <family val="2"/>
      </rPr>
      <t xml:space="preserve"> Causa : En las Reglas de Operación del Programa, no se establecen porcentajes de participación financiera mínimos ni máximos para ninguna de las partes.  La información del indicador le permite al Programa conocer el nivel de participación de acciones de transversalidad convenidas.            El presupuesto autorizado al Programa para el ejercicio 2013, contempló recursos vinculados con pasivos generados en el ejercicio 2012, situación que impactó la proporción de inversión a concertar con las contrapartes, toda vez que dichos pasivos no formaron parte de los recursos a convenir para el Programa 2013. No obstante lo anterior, se logró superar la meta modificada, primordialmente gracias a la Concertación de los 18 convenios de colaboración suscritos con la CFE.            Es importante señalar:      - La justificación se realiza en relación a la meta MODIFICADA por ser ésta la que se establece de acuerdo al Presupuesto autorizado al Programa en el PEF 2013, la meta consignada como APROBADA, corresponde a lo estimado en el ejercicio del anteproyecto del presupuesto, que al no ser el mismo, pierde relevancia dar seguimiento a esa meta.      - El resultado expresado en la META MODIFICADA, es erroneo, si se realiza la operación, el resultado es .20 no .30 como se indica. Se hace mención porque no se puede modificar ese campo. Efecto: No se identifica impacto en meta. Otros Motivos:</t>
    </r>
  </si>
  <si>
    <r>
      <t xml:space="preserve">Porcentaje de avance en el ejercicio del presupuesto
</t>
    </r>
    <r>
      <rPr>
        <sz val="10"/>
        <rFont val="Soberana Sans"/>
        <family val="2"/>
      </rPr>
      <t xml:space="preserve"> Causa : Los recursos ejercidos corresponden a:   compromisos devengados del 2012, pagos de anticipos de obras y aquellos realizados de acuerdo a los avances de ejecución registrados y validados por los servicios de supervisión gerencial; asi mismo se incluyen los gastos de operación, excepto lo correspondiente al Capítulo 1000, cuya aplicación y seguimiento corresponde a la Coordinación General de Administración y Finanzas.  Es importante mencionar que el presupuesto total fue  modificado  en virtud de diversas reducciones presupuestales realizadas por la SHCP, dicho lo anterior,  el  presupuesto modificado que consigna los capítulos de seguimiento de este indicador, finalizó en un monto de 5,759.2 millones de pesos, el cual fue ejercido al 100%. Efecto: No se identifica impacto en metas Otros Motivos:</t>
    </r>
  </si>
  <si>
    <r>
      <t xml:space="preserve">Porcentaje de avance físico de ejecución de obras y acciones
</t>
    </r>
    <r>
      <rPr>
        <sz val="10"/>
        <rFont val="Soberana Sans"/>
        <family val="2"/>
      </rPr>
      <t xml:space="preserve"> Causa : Se logra la meta programada dado que al 31 de diciembre se adjudicaron un total de 1,140 obras y acciones comprometidas en los Acuerdos de Coordinación suscritos con las diversas entidades federativas o por ejecución directa, mismas que cumplieron su meta de ejecución. Efecto: No se identifica impacto económico. Otros Motivos:</t>
    </r>
  </si>
  <si>
    <r>
      <t xml:space="preserve">Porcentaje de obras y acciones contratadas
</t>
    </r>
    <r>
      <rPr>
        <sz val="10"/>
        <rFont val="Soberana Sans"/>
        <family val="2"/>
      </rPr>
      <t xml:space="preserve"> Causa : Las entidades federativas cumplieron en tiempo y forma con los procesos de licitación y adjudicación de las obras. Adicionalmente, se logró la concertación de un mayor número de obras  dada la celebración de 18 convenios de colaboración con la CFE, quien al aportar recursos adicionales permitió ampliar  y superar las metas originales planteadas por el Programa. Efecto: No se identifica impacto económico. Otros Motivos:</t>
    </r>
  </si>
  <si>
    <t>S181</t>
  </si>
  <si>
    <t>Programa Organización Productiva para Mujeres Indígenas (POPMI)</t>
  </si>
  <si>
    <t>Contribuir a que las mujeres indígenas beneficiarias del Programa, incrementen su participación en la toma de decisiones mediante la instalación de proyectos productivos</t>
  </si>
  <si>
    <r>
      <t xml:space="preserve">Incremento porcentual en la participación de la toma de decisiones de las beneficias del POPMI respecto al periodo anterior  </t>
    </r>
    <r>
      <rPr>
        <i/>
        <sz val="10"/>
        <color indexed="30"/>
        <rFont val="Soberana Sans"/>
        <family val="3"/>
      </rPr>
      <t xml:space="preserve">
</t>
    </r>
  </si>
  <si>
    <t>(Porcentaje de beneficiarias del Programa que logran un puntaje igual o mayor  a 58% en el índice de participación de la toma de decisiones en el año t)-(Porcentaje de beneficiarias del Programa que logran un puntaje igual o mayor  a 58% en el índice de participación de la toma de decisiones en el año t-3)</t>
  </si>
  <si>
    <t>Estratégico-Eficacia-Trianual</t>
  </si>
  <si>
    <t>Mujeres indígenas organizadas administran y operan proyectos productivos definidos por ellas mismas, generando beneficios en el corto y mediano plazo (2 años)</t>
  </si>
  <si>
    <r>
      <t>Porcentaje de grupos de mujeres indígenas apoyadas por el programa que continúan operando proyectos dos años después de recibido el apoyo</t>
    </r>
    <r>
      <rPr>
        <i/>
        <sz val="10"/>
        <color indexed="30"/>
        <rFont val="Soberana Sans"/>
        <family val="3"/>
      </rPr>
      <t xml:space="preserve">
Indicador Seleccionado</t>
    </r>
  </si>
  <si>
    <t>(Número de grupos de mujeres indígenas que recibieron el apoyo para un proyecto productivo en el año t-2 y lo continúan operando en el año t/  Número de grupos de mujeres indígenas que recibieron el apoyo del POPMI para un proyecto productivo en el año t-2) * 100</t>
  </si>
  <si>
    <t>A Proyectos productivos de mujeres indígenas instalados.</t>
  </si>
  <si>
    <r>
      <t>Porcentaje de proyectos productivos autorizados y operando en el ejercicio fiscal vigente por mujeres indígenas beneficiarias del Programa</t>
    </r>
    <r>
      <rPr>
        <i/>
        <sz val="10"/>
        <color indexed="30"/>
        <rFont val="Soberana Sans"/>
        <family val="3"/>
      </rPr>
      <t xml:space="preserve">
</t>
    </r>
  </si>
  <si>
    <t>(No. de proyectos autorizados y operando en el ejercicio fiscal vigente)/( No. de proyectos autorizados en el ejercicio fiscal vigente)*100</t>
  </si>
  <si>
    <t>B Mujeres indígenas capacitadas en materia organizativa, administrativa, habilidades técnicas y derechos</t>
  </si>
  <si>
    <r>
      <t>Porcentaje de mujeres indígenas organizadas y capacitadas beneficiarias del Programa</t>
    </r>
    <r>
      <rPr>
        <i/>
        <sz val="10"/>
        <color indexed="30"/>
        <rFont val="Soberana Sans"/>
        <family val="3"/>
      </rPr>
      <t xml:space="preserve">
</t>
    </r>
  </si>
  <si>
    <t>(No. de mujeres indígenas beneficiarias que participan en eventos de capacitación en el periodo de análisis / No. total de mujeres beneficiarias en el ejercicio fiscal vigente) * 100</t>
  </si>
  <si>
    <t>A 1 Proyectos productivos instalados por mujeres indígenas organizadas a un costo promedio anual definido por el Programa.</t>
  </si>
  <si>
    <r>
      <t>Inversión promedio de los proyectos productivos autorizados</t>
    </r>
    <r>
      <rPr>
        <i/>
        <sz val="10"/>
        <color indexed="30"/>
        <rFont val="Soberana Sans"/>
        <family val="3"/>
      </rPr>
      <t xml:space="preserve">
</t>
    </r>
  </si>
  <si>
    <t>Recurso autorizado para la instalación de proyectos productivos en el periodo de análisis / Número de proyectos autorizados a grupos de mujeres indígenas en el periodo de análisis</t>
  </si>
  <si>
    <t>B 2 Promoción y trabajo comunitario de las promotoras indígenas</t>
  </si>
  <si>
    <r>
      <t>Atención promedio de promotoras beneficiarias a proyectos autorizados</t>
    </r>
    <r>
      <rPr>
        <i/>
        <sz val="10"/>
        <color indexed="30"/>
        <rFont val="Soberana Sans"/>
        <family val="3"/>
      </rPr>
      <t xml:space="preserve">
</t>
    </r>
  </si>
  <si>
    <t>No. de proyectos apoyados en el periodo de análisis/ No. de promotoras beneficiarias en el periodo de análisis</t>
  </si>
  <si>
    <t>Proyecto</t>
  </si>
  <si>
    <t>B 3 Mujeres indígenas beneficiarias del Programa</t>
  </si>
  <si>
    <r>
      <t>Número de mujeres indígenas organizadas beneficiarias del Programa</t>
    </r>
    <r>
      <rPr>
        <i/>
        <sz val="10"/>
        <color indexed="30"/>
        <rFont val="Soberana Sans"/>
        <family val="3"/>
      </rPr>
      <t xml:space="preserve">
</t>
    </r>
  </si>
  <si>
    <t>No. de mujeres beneficiarias organizadas en el periodo de análisis</t>
  </si>
  <si>
    <t>Mujer</t>
  </si>
  <si>
    <r>
      <t xml:space="preserve">Incremento porcentual en la participación de la toma de decisiones de las beneficias del POPMI respecto al periodo anterior  
</t>
    </r>
    <r>
      <rPr>
        <sz val="10"/>
        <rFont val="Soberana Sans"/>
        <family val="2"/>
      </rPr>
      <t xml:space="preserve"> Causa : A fin de mejorar el seguimiento y  confiabilidad del indicador, para 2013 se estableció una periodicidad mayor, cambiando de anual a trianual, lo que además, permitiría evaluar en una ventana mayor de tiempo, el impacto del Programa en las beneficiarias.   Es importante mencionar, que a pesar de que se estimó que para el  año 2015, la meta correspondiera a un incremento del 3%, en el ejercicio fiscal 2014, el POPMI se convirtió en parte del Apoyo: Mujer Indígena del Programa para Mejoramiento de la Producción y Productividad Indígena (PROIN), por lo que será necesario replantear la formulación de este indicador. Efecto: Sin efectos económicos Otros Motivos:</t>
    </r>
  </si>
  <si>
    <r>
      <t xml:space="preserve">Porcentaje de grupos de mujeres indígenas apoyadas por el programa que continúan operando proyectos dos años después de recibido el apoyo
</t>
    </r>
    <r>
      <rPr>
        <sz val="10"/>
        <rFont val="Soberana Sans"/>
        <family val="2"/>
      </rPr>
      <t xml:space="preserve"> Causa : Se rebasó la meta por un 5.5%, lo que significa que aumentó la supervivencia de los proyectos productivos apoyados en 2011, en beneficio de mujeres indígenas, debido a que oficinas centrales, delegaciones estatales y Centros Coordinadores para el Desarrollo Indígena dieron mayor seguimiento a proyectos apoyados en ejercicios pasados; además, se incrementó la plantilla a 548 promotoras indígenas que dan seguimiento y acompañamiento a los grupos apoyados del ejercicio fiscal vigente y anteriores; asimismo, la existencia en las reglas de operación, del texto: " La Dirección del Programa, en coordinación con las Delegaciones Estatales y los CCDI´s, realizará acciones de seguimiento en cuando menos una muestra de 5% de los proyectos autorizados, e implementará controles para la debida rendición de cuentas a través de la última fase de seguimiento registrada en el Sistema Integral de Mujeres (SIM)". Asimismo, la totalidad de beneficiarias ha recibido alguna capacitación, con el propósito de facilitar el desarrollo de las capacidades y habilidades de las mujeres indígenas, orientadas a la consolidación de la organización y el desarrollo de su proyecto productivo.  Lo anterior,  coadyuvó a que los proyectos apoyados en 2011, tuvieran un seguimiento y apoyo por parte de la institución y lograran su supervivencia.    Efecto: Sin efectos económicos Otros Motivos:Se cambió el denominador real, el cual es de 3,973 proyectos apoyados en el año 2011, y que por un error en la captura estaba incorrecto. Lo anterior, para que el indicador refleje realmente lo que se quiere medir.</t>
    </r>
  </si>
  <si>
    <r>
      <t xml:space="preserve">Porcentaje de proyectos productivos autorizados y operando en el ejercicio fiscal vigente por mujeres indígenas beneficiarias del Programa
</t>
    </r>
    <r>
      <rPr>
        <sz val="10"/>
        <rFont val="Soberana Sans"/>
        <family val="2"/>
      </rPr>
      <t xml:space="preserve"> Causa : Se superó la meta, debido a que se realizó una ampliación de presupuesto al Programa, por lo que se autorizaron más proyectos productivos. Efecto: Sin efectos económicos Otros Motivos:Se ajustó el denominador al número de proyectos apoyados realmente, para que el indicador refleje lo que se quiere medir. </t>
    </r>
  </si>
  <si>
    <r>
      <t xml:space="preserve">Porcentaje de mujeres indígenas organizadas y capacitadas beneficiarias del Programa
</t>
    </r>
    <r>
      <rPr>
        <sz val="10"/>
        <rFont val="Soberana Sans"/>
        <family val="2"/>
      </rPr>
      <t xml:space="preserve"> Causa : Se superó la meta debido a que se realizó una ampliación presupuestal al Programa, por lo que se autorizaron más proyectos productivos, en beneficio de más mujeres indígenas; así mismo, se implementaron las acciones de capacitación. Efecto: Sin efectos económicos Otros Motivos:Se modificó el denominador al número de mujeres apoyadas, para que el indicador refleje realmente lo que se quiere medir.</t>
    </r>
  </si>
  <si>
    <r>
      <t xml:space="preserve">Inversión promedio de los proyectos productivos autorizados
</t>
    </r>
    <r>
      <rPr>
        <sz val="10"/>
        <rFont val="Soberana Sans"/>
        <family val="2"/>
      </rPr>
      <t xml:space="preserve"> Causa : Se superó la meta debido a que se autorizaron proyectos productivos por un monto mayor al estimado, con el objetivo de que éstos sean más viables y que generen mejores ingresos a las mujeres indígenas beneficiarias. Efecto: Sin efectos económicos Otros Motivos:Se modificó el denominador al número de proyectos apoyados realmente, para que el indicador refleje lo que se quiere medir.</t>
    </r>
  </si>
  <si>
    <r>
      <t xml:space="preserve">Atención promedio de promotoras beneficiarias a proyectos autorizados
</t>
    </r>
    <r>
      <rPr>
        <sz val="10"/>
        <rFont val="Soberana Sans"/>
        <family val="2"/>
      </rPr>
      <t xml:space="preserve"> Causa : Se superó la meta debido a que se realizó una ampliación presupuestal al Programa, por lo que se autorizaron más proyectos productivos, y por ende, aumentó el porcentaje de atención a proyectos por promotora indígena. Cabe señalar, que en este ejercicio fiscal, aumentó la plantilla de promotoras a 548. Efecto: Sin efectos económicos Otros Motivos:</t>
    </r>
  </si>
  <si>
    <r>
      <t xml:space="preserve">Número de mujeres indígenas organizadas beneficiarias del Programa
</t>
    </r>
    <r>
      <rPr>
        <sz val="10"/>
        <rFont val="Soberana Sans"/>
        <family val="2"/>
      </rPr>
      <t xml:space="preserve"> Causa : Se superó la meta debido a que se realizó una ampliación presupuestal al Programa, por lo que se autorizaron más proyectos productivos, en beneficio de más mujeres indígenas. Efecto: Sin efectos económicos Otros Motivos:</t>
    </r>
  </si>
  <si>
    <t>S182</t>
  </si>
  <si>
    <t>Programa Promoción de Convenios en Materia de Justicia (PPCMJ)</t>
  </si>
  <si>
    <t>Contribuir a mejorar las capacidades de los pueblos indígenas y sus integrantes para el ejercicio pleno de sus derechos y el acceso a la justicia.</t>
  </si>
  <si>
    <r>
      <t>Porcentaje de población indígena beneficiaria, durante el sexenio, que mejoraron sus capacidades para el ejercicio pleno de sus derechos y el acceso a la justicia.</t>
    </r>
    <r>
      <rPr>
        <i/>
        <sz val="10"/>
        <color indexed="30"/>
        <rFont val="Soberana Sans"/>
        <family val="3"/>
      </rPr>
      <t xml:space="preserve">
</t>
    </r>
  </si>
  <si>
    <t>(Población indígena encuestada, beneficiaria del Programa, que mejoraron sus capacidades para el ejercicio pleno de sus derechos y el acceso a la justicia en el periodo t / Total de población indígena encuestada, atendida por el Programa durante el periodo t) * 100</t>
  </si>
  <si>
    <t>Las organizaciones sociales y núcleos agrarios legalmente constituidos, implementan proyectos que cumplen con los requisitos mínimos de desempeño, para mejorar las capacidades de los pueblos indígenas y sus integrantes para el ejercicio pleno de sus derechos y el acceso a la justicia.</t>
  </si>
  <si>
    <r>
      <t>Porcentaje de proyectos para mejorar las capacidades de los pueblos indígenas y sus integrantes para el ejercicio pleno de sus derechos y el acceso a la justicia apoyados económicamente por el Programa en el año t, que cumplieron con los estándares de desempeño establecidos por el mismo, respecto del total de proyectos para mejorar las capacidades de los pueblos indígenas y sus integrantes para el ejercicio pleno de sus derechos y el acceso a la justicia apoyados económicamente por el Programa.</t>
    </r>
    <r>
      <rPr>
        <i/>
        <sz val="10"/>
        <color indexed="30"/>
        <rFont val="Soberana Sans"/>
        <family val="3"/>
      </rPr>
      <t xml:space="preserve">
Indicador Seleccionado</t>
    </r>
  </si>
  <si>
    <t>(Número de proyectos para mejorar las capacidades de los pueblos indígenas y sus integrantes para el ejercicio pleno de sus derechos y el acceso a la justicia apoyados por el Programa en el año t, que cumplieron con los estándares de desempeño establecidos por el mismo / Total de proyectos para mejorar las capacidades de los pueblos indígenas y sus integrantes para el ejercicio pleno de sus derechos y el acceso a la justicia, apoyados por el Programa en el año t)</t>
  </si>
  <si>
    <t>A Organizaciones sociales de reciente creación apoyadas para su constitución legal.</t>
  </si>
  <si>
    <r>
      <t xml:space="preserve">Porcentaje de solicitudes de apoyo para la constitución legal de organizaciones sociales de reciente creación atendidas en el año t, respecto del total de solicitudes de apoyo para la constitución legal recibidas en el año t. </t>
    </r>
    <r>
      <rPr>
        <i/>
        <sz val="10"/>
        <color indexed="30"/>
        <rFont val="Soberana Sans"/>
        <family val="3"/>
      </rPr>
      <t xml:space="preserve">
</t>
    </r>
  </si>
  <si>
    <t>(Número de solicitudes de apoyo para la constitución legal de organizaciones sociales de reciente creación atendidas en el año t / Número total de solicitudes de apoyo para la constitución legal recibidas, en el año t) * 100</t>
  </si>
  <si>
    <t>B Proyectos apoyados para mejorar las capacidades de los pueblos indígenas y sus integrantes para el ejercicio pleno de sus derechos y el acceso a la justicia, instrumentados por organizaciones sociales o núcleos agrarios.</t>
  </si>
  <si>
    <r>
      <t>Porcentaje de proyectos aprobados para mejorar las capacidades de los pueblos indígenas y sus integrantes para el ejercicio pleno de sus derechos y el acceso a la justicia en el año t, respecto del total de proyectos aprobados para mejorar las capacidades de los pueblos indígenas y sus integrantes para el ejercicio pleno de sus derechos y el acceso a la justicia concursantes en el año t.</t>
    </r>
    <r>
      <rPr>
        <i/>
        <sz val="10"/>
        <color indexed="30"/>
        <rFont val="Soberana Sans"/>
        <family val="3"/>
      </rPr>
      <t xml:space="preserve">
</t>
    </r>
  </si>
  <si>
    <t>(Número de proyectos para mejorar las capacidades de los pueblos indígenas y sus integrantes para el ejercicio pleno de sus derechos y el acceso a la justicia, aprobados en el año t. /  Número de proyectos para mejorar las capacidades de los pueblos indígenas y sus integrantes para el ejercicio pleno de sus derechos y el acceso a la justicia, concursantes  en el año t) 100</t>
  </si>
  <si>
    <t>A 1 Entrega de apoyos económicos para constitución legal de organizaciones</t>
  </si>
  <si>
    <r>
      <t>Porcentaje de solicitudes de apoyos económicos  para constitución legal de organizaciones revisadas en el mes t, respecto del total de solicitudes recibidas en el mes t.</t>
    </r>
    <r>
      <rPr>
        <i/>
        <sz val="10"/>
        <color indexed="30"/>
        <rFont val="Soberana Sans"/>
        <family val="3"/>
      </rPr>
      <t xml:space="preserve">
</t>
    </r>
  </si>
  <si>
    <t>(Número de solicitudes de apoyos económicos  para constitución legal de organizaciones revisadas en el mes t  / Número total de solicitudes de apoyo económico para constitución legal recibidas en el mes t) * 100</t>
  </si>
  <si>
    <t>B 2 Suscripción de convenios.</t>
  </si>
  <si>
    <r>
      <t>Porcentaje de organizaciones sociales y núcleos agrarios que concretaron la suscripción de un convenio con el PPCMJ en el año t, respecto del total de organizaciones sociales y núcleos agrarios aprobados en el Programa en el año t.</t>
    </r>
    <r>
      <rPr>
        <i/>
        <sz val="10"/>
        <color indexed="30"/>
        <rFont val="Soberana Sans"/>
        <family val="3"/>
      </rPr>
      <t xml:space="preserve">
</t>
    </r>
  </si>
  <si>
    <t>(Organizaciones sociales o núcleos agrarios que suscribieron convenio de concertación con el PPCMJ en el año t  / Total de organizaciones sociales o núcleos agrarios aprobados en el Programa en el año t) * 100</t>
  </si>
  <si>
    <t>B 3 Seguimiento y evaluación</t>
  </si>
  <si>
    <r>
      <t>Porcentaje de organizaciones sociales o núcleos agrarios evaluados en el año t, respecto del total de organizaciones sociales o núcleos agrarios apoyados en el año t.</t>
    </r>
    <r>
      <rPr>
        <i/>
        <sz val="10"/>
        <color indexed="30"/>
        <rFont val="Soberana Sans"/>
        <family val="3"/>
      </rPr>
      <t xml:space="preserve">
</t>
    </r>
  </si>
  <si>
    <t>(Organizaciones sociales  o núcleos agrarios evaluados en el año t / Total de organizaciones sociales o núcleos agrarios aprobados en el año t) * 100</t>
  </si>
  <si>
    <t>B 4 Entrega de recursos</t>
  </si>
  <si>
    <r>
      <t>Porcentaje de recursos entregados a las organizaciones sociales y núcleos aprobados en el año t, respecto del total de recurso de subsidios programados en el año t.</t>
    </r>
    <r>
      <rPr>
        <i/>
        <sz val="10"/>
        <color indexed="30"/>
        <rFont val="Soberana Sans"/>
        <family val="3"/>
      </rPr>
      <t xml:space="preserve">
</t>
    </r>
  </si>
  <si>
    <t>(Recursos entregados a las organizaciones sociales y núcleos agrarios aprobados en el año t / Recurso de subsidios programados en el año t) * 100</t>
  </si>
  <si>
    <r>
      <t xml:space="preserve">Porcentaje de población indígena beneficiaria, durante el sexenio, que mejoraron sus capacidades para el ejercicio pleno de sus derechos y el acceso a la justicia.
</t>
    </r>
    <r>
      <rPr>
        <sz val="10"/>
        <rFont val="Soberana Sans"/>
        <family val="2"/>
      </rPr>
      <t xml:space="preserve"> Causa : En virtud de que la frecuencia de medición del indicador es trianual, no se cuenta con línea base, toda vez que la primera medición se tiene programada para el ejercicio fiscal 2015. Efecto: No causa efectos económicos en los beneficiarios. Otros Motivos:</t>
    </r>
  </si>
  <si>
    <r>
      <t xml:space="preserve">Porcentaje de proyectos para mejorar las capacidades de los pueblos indígenas y sus integrantes para el ejercicio pleno de sus derechos y el acceso a la justicia apoyados económicamente por el Programa en el año t, que cumplieron con los estándares de desempeño establecidos por el mismo, respecto del total de proyectos para mejorar las capacidades de los pueblos indígenas y sus integrantes para el ejercicio pleno de sus derechos y el acceso a la justicia apoyados económicamente por el Programa.
</t>
    </r>
    <r>
      <rPr>
        <sz val="10"/>
        <rFont val="Soberana Sans"/>
        <family val="2"/>
      </rPr>
      <t xml:space="preserve"> Causa : En el marco de la convocatoria pública emitida por el Programa, fueron aprobadas 578 propuestas de las cuales 575 concretaron la suscripción del convenio de concertación; de estas, 552 alcanzaron un nivel satisfactorio en la ejecución de sus proyectos.              Sin embargo, cabe señalar que el total de los proyectos apoyados dieron cumplimiento con lo establecido en los convenios de concertación suscritos. Efecto: No causa efectos económicos a los beneficiarios. Otros Motivos:</t>
    </r>
  </si>
  <si>
    <r>
      <t xml:space="preserve">Porcentaje de solicitudes de apoyo para la constitución legal de organizaciones sociales de reciente creación atendidas en el año t, respecto del total de solicitudes de apoyo para la constitución legal recibidas en el año t. 
</t>
    </r>
    <r>
      <rPr>
        <sz val="10"/>
        <rFont val="Soberana Sans"/>
        <family val="2"/>
      </rPr>
      <t xml:space="preserve"> Causa : El resultado observado en relación a las metas alcanzada y aprobada es consecuencia de que el indicador fue modificado posterior al registro de los datos para la integración del proyecto de Presupuesto de Egresos de la Federación, motivo por el cual no se cuenta con meta aprobada.   Efecto: No causa efectos económicos en los beneficiarios. Otros Motivos:</t>
    </r>
  </si>
  <si>
    <r>
      <t xml:space="preserve">Porcentaje de proyectos aprobados para mejorar las capacidades de los pueblos indígenas y sus integrantes para el ejercicio pleno de sus derechos y el acceso a la justicia en el año t, respecto del total de proyectos aprobados para mejorar las capacidades de los pueblos indígenas y sus integrantes para el ejercicio pleno de sus derechos y el acceso a la justicia concursantes en el año t.
</t>
    </r>
    <r>
      <rPr>
        <sz val="10"/>
        <rFont val="Soberana Sans"/>
        <family val="2"/>
      </rPr>
      <t xml:space="preserve"> Causa : El resultado observado en relación a las metas alcanzada y aprobada es consecuencia de que el indicador fue modificado posterior al registro de los datos para la integración del proyecto de Presupuesto de Egresos de la Federación, motivo por el cual no se cuenta con meta aprobada. Efecto: No causa efectos económicos en los beneficiarios. Otros Motivos:</t>
    </r>
  </si>
  <si>
    <r>
      <t xml:space="preserve">Porcentaje de solicitudes de apoyos económicos  para constitución legal de organizaciones revisadas en el mes t, respecto del total de solicitudes recibidas en el mes t.
</t>
    </r>
    <r>
      <rPr>
        <sz val="10"/>
        <rFont val="Soberana Sans"/>
        <family val="2"/>
      </rPr>
      <t xml:space="preserve"> Causa : La variación que se observa entre el resultado del indicador alcanzado con relación al programado, es como consecuencia de que este apoyo se otorga a petición de parte; al periodo que se reporta sólo fue recibida una solicitud de apoyo económico para constitución legal. Efecto: No causa efectos económicos al beneficiario. Otros Motivos:</t>
    </r>
  </si>
  <si>
    <r>
      <t xml:space="preserve">Porcentaje de organizaciones sociales y núcleos agrarios que concretaron la suscripción de un convenio con el PPCMJ en el año t, respecto del total de organizaciones sociales y núcleos agrarios aprobados en el Programa en el año t.
</t>
    </r>
    <r>
      <rPr>
        <sz val="10"/>
        <rFont val="Soberana Sans"/>
        <family val="2"/>
      </rPr>
      <t xml:space="preserve"> Causa : La variación que se observa entre el resultado del indicador alcanzado con relación al programado, es consecuencia de que dentro de los plazos establecidos en la convocatoria pública para la de selección de proyectos, se recibió un total de 972 propuestas de igual numero de organizaciones sociales y núcleos agrarios; de estas 578 fueron aprobadas, y 575 concretaron la suscripción del convenio de concertación.  Efecto: No causa efectos económicos en los beneficiarios. Otros Motivos:</t>
    </r>
  </si>
  <si>
    <r>
      <t xml:space="preserve">Porcentaje de organizaciones sociales o núcleos agrarios evaluados en el año t, respecto del total de organizaciones sociales o núcleos agrarios apoyados en el año t.
</t>
    </r>
    <r>
      <rPr>
        <sz val="10"/>
        <rFont val="Soberana Sans"/>
        <family val="2"/>
      </rPr>
      <t xml:space="preserve"> Causa : Dentro del proceso de evaluación a las actividades desarrolladas por los proyectos apoyados, las unidades operativas de la CDI, realizaron un mayor número de evaluaciones en campo a las programadas. Efecto: No causa efectos económicos en los beneficiarios. Otros Motivos:</t>
    </r>
  </si>
  <si>
    <r>
      <t xml:space="preserve">Porcentaje de recursos entregados a las organizaciones sociales y núcleos aprobados en el año t, respecto del total de recurso de subsidios programados en el año t.
</t>
    </r>
    <r>
      <rPr>
        <sz val="10"/>
        <rFont val="Soberana Sans"/>
        <family val="2"/>
      </rPr>
      <t xml:space="preserve"> Causa : La variación que se observa entre el resultado del indicador alcanzado con relación al programado, se deriva de que de las organizaciones sociales y núcleos agrarios aprobados, un mayor número de éstos recibieron el total de los recursos autorizados; en virtud de que dieron cumplimiento con la normatividad aplicable. Efecto: No causa efectos económicos en los beneficiarios. Otros Motivos:</t>
    </r>
  </si>
  <si>
    <t>S183</t>
  </si>
  <si>
    <t>Programa de Fomento y Desarrollo de las Culturas Indígenas (PFDCI)</t>
  </si>
  <si>
    <t>Contribuir al fortalecimiento del patrimonio cultural de los pueblos indígenas mediante el apoyo a organizaciones tradicionales indígenas que desarrollan sus manifestaciones culturales</t>
  </si>
  <si>
    <r>
      <t xml:space="preserve">Porcentaje de  organizaciones tradicionales indígenas que fortalecen el patrimonio cultural  de los pueblos indígenas respecto a lo programado. </t>
    </r>
    <r>
      <rPr>
        <i/>
        <sz val="10"/>
        <color indexed="30"/>
        <rFont val="Soberana Sans"/>
        <family val="3"/>
      </rPr>
      <t xml:space="preserve">
</t>
    </r>
  </si>
  <si>
    <t>(Número de  organizaciones tradicionales indígenas que han fortalecido el patrimonio cultural de los pueblos indígenas en el sexenio / Número de organizaciones tradicionales indígenas programadas en el sexenio) X 100</t>
  </si>
  <si>
    <t>Estratégico-Eficacia-Sexenal</t>
  </si>
  <si>
    <t>Las Organizaciones Tradicionales Indígenas han fortalecido las manifestaciones culturales que conforman el patrimonio cultural de los pueblos indígenas.</t>
  </si>
  <si>
    <r>
      <t>Porcentaje de organizaciones tradicionales indígenas que alcanzan sus objetivos culturales</t>
    </r>
    <r>
      <rPr>
        <i/>
        <sz val="10"/>
        <color indexed="30"/>
        <rFont val="Soberana Sans"/>
        <family val="3"/>
      </rPr>
      <t xml:space="preserve">
Indicador Seleccionado</t>
    </r>
  </si>
  <si>
    <t>(Número de organizaciones tradicionales indígenas que cumplieron sus objetivos culturales y suscribieron actas de conclusión en asamblea comunitaria / Número total de organizaciones tradicionales indígenas programadas en el año) X 100</t>
  </si>
  <si>
    <t>A Apoyo a proyectos culturales de organizaciones tradicionales indigenas para el fortalecimiento de su patrimonio cultural.</t>
  </si>
  <si>
    <r>
      <t>Porcentaje de proyectos culturales de organizaciones tradicionales indígenas dirigidos al fortalecimiento de las manifestaciones culturales respecto a lo programado</t>
    </r>
    <r>
      <rPr>
        <i/>
        <sz val="10"/>
        <color indexed="30"/>
        <rFont val="Soberana Sans"/>
        <family val="3"/>
      </rPr>
      <t xml:space="preserve">
</t>
    </r>
  </si>
  <si>
    <t>(Número de proyectos culturales apoyados trimestralmente / Número proyectos programados trimestralmente en el año) X 100</t>
  </si>
  <si>
    <t>B Costo total de encuentros nacionales interculturales de difusión que financia el programa con aportación de otras fuentes</t>
  </si>
  <si>
    <r>
      <t>Porcentaje de aportación de otras instancias para el financiamiento de encuentros nacionales interculturales respecto a los programado.</t>
    </r>
    <r>
      <rPr>
        <i/>
        <sz val="10"/>
        <color indexed="30"/>
        <rFont val="Soberana Sans"/>
        <family val="3"/>
      </rPr>
      <t xml:space="preserve">
</t>
    </r>
  </si>
  <si>
    <t xml:space="preserve">(Cantidad de recursos de las instancias distintas al programa en el semestre / aportación del Programa programado semestralmente) X 100 </t>
  </si>
  <si>
    <t>Estratégico-Economía-Semestral</t>
  </si>
  <si>
    <t>C Apoyo a promotores culturales que presentan proyectos culturales para la revaloración de las instituciones y desarrollo de las manifestaciones culturales de las organizaciones tradicionales indígenas.</t>
  </si>
  <si>
    <r>
      <t xml:space="preserve">Porcentaje de proyectos culturales presentados por Promotores Culturales Indígenas respecto a lo programado. </t>
    </r>
    <r>
      <rPr>
        <i/>
        <sz val="10"/>
        <color indexed="30"/>
        <rFont val="Soberana Sans"/>
        <family val="3"/>
      </rPr>
      <t xml:space="preserve">
</t>
    </r>
  </si>
  <si>
    <t>(Número de proyectos culturales presentados por promotores culturales en el semestre / número de proyectos culturales presentados por promotores culturales programados semestralmente) X 100</t>
  </si>
  <si>
    <t>A 1 Transferencia de recursos a las organizaciones tradicionales de los pueblos indígenas para la ejecución de sus proyectos culturales.</t>
  </si>
  <si>
    <r>
      <t>Porcentaje de proyectos culturales apoyados respecto a lo programado.</t>
    </r>
    <r>
      <rPr>
        <i/>
        <sz val="10"/>
        <color indexed="30"/>
        <rFont val="Soberana Sans"/>
        <family val="3"/>
      </rPr>
      <t xml:space="preserve">
</t>
    </r>
  </si>
  <si>
    <t>(Número de proyectos culturales que reciben recursos para su ejecución trimestarlmente / Número de proyectos culturales programados trimestralmente en el año) X 100</t>
  </si>
  <si>
    <t>A 2 Proyectos culturales de organizaciones tradicionales indígenas donde se visibiliza la participación de la mujer indígena en el desarrollo de las manifestaciones culturales de los pueblos.</t>
  </si>
  <si>
    <r>
      <t>Porcentaje de participación de la mujer indígena en proyectos culturales dirigidos al fortalecimiento de las manifestaciones culturales de los pueblos indígenas  respecto a lo programado.</t>
    </r>
    <r>
      <rPr>
        <i/>
        <sz val="10"/>
        <color indexed="30"/>
        <rFont val="Soberana Sans"/>
        <family val="3"/>
      </rPr>
      <t xml:space="preserve">
</t>
    </r>
  </si>
  <si>
    <t>(Número de mujeres apoyadas trimestralmente / número total de beneficiarios programados trimestralmente en el año) X 100</t>
  </si>
  <si>
    <t>B 3 Organizaciones tradicionales indígenas convocadas para participar en los encuentros nacionales interculturales y difundan sus manifestaciones culturales.</t>
  </si>
  <si>
    <r>
      <t>Porcentaje de  organizaciones tradicionales indígenas convocadas que participan en los encuentros nacionales interculturales para difundir sus manifestaciones culturales respecto a lo programado.</t>
    </r>
    <r>
      <rPr>
        <i/>
        <sz val="10"/>
        <color indexed="30"/>
        <rFont val="Soberana Sans"/>
        <family val="3"/>
      </rPr>
      <t xml:space="preserve">
</t>
    </r>
  </si>
  <si>
    <t>Número de  organizaciones tradicionales indígenas convocadas que participan en los encuentros nacionales interculturales en el trimestre / Número de  organizaciones tradicionales indígenas convocadas programadas para participar en los encuentros nacionales interculturales trimesralmente ) X 100</t>
  </si>
  <si>
    <t>C 4 Capacitación y formación a promotores culturales indígenas</t>
  </si>
  <si>
    <r>
      <t>Porcentaje de promotores culturales indígenas capacitados respecto a lo programado</t>
    </r>
    <r>
      <rPr>
        <i/>
        <sz val="10"/>
        <color indexed="30"/>
        <rFont val="Soberana Sans"/>
        <family val="3"/>
      </rPr>
      <t xml:space="preserve">
</t>
    </r>
  </si>
  <si>
    <t>(Número de promotores culturales indígenas capacitados / Número de promotores culturales indígenas programados trimestralmente en el año) X 100</t>
  </si>
  <si>
    <t>Promotor</t>
  </si>
  <si>
    <r>
      <t xml:space="preserve">Porcentaje de  organizaciones tradicionales indígenas que fortalecen el patrimonio cultural  de los pueblos indígenas respecto a lo programado. 
</t>
    </r>
    <r>
      <rPr>
        <sz val="10"/>
        <rFont val="Soberana Sans"/>
        <family val="2"/>
      </rPr>
      <t xml:space="preserve"> Causa : Existió un incremento de costos por modificaciones a los parámetros macroeconómicos establecidos en los criterios Generales de Política Económica, es decir, la inflación, repercutiendo en las metas alcanzadas disminuyendo el número de organizaciones tradicionales indígenas que fortalecieron su patrimonio cultural. Efecto: No tiene efectos económicos. Otros Motivos:</t>
    </r>
  </si>
  <si>
    <r>
      <t xml:space="preserve">Porcentaje de organizaciones tradicionales indígenas que alcanzan sus objetivos culturales
</t>
    </r>
    <r>
      <rPr>
        <sz val="10"/>
        <rFont val="Soberana Sans"/>
        <family val="2"/>
      </rPr>
      <t xml:space="preserve"> Causa : Derivado del proceso inflacionario los costos de los proyectos se incrementaron lo cual impactó en el número de apoyos brindados por el programa y por tanto el resultado final fue ligeramente menor a la meta establecida. Efecto: No tiene efectos económicos. Otros Motivos:</t>
    </r>
  </si>
  <si>
    <r>
      <t xml:space="preserve">Porcentaje de proyectos culturales de organizaciones tradicionales indígenas dirigidos al fortalecimiento de las manifestaciones culturales respecto a lo programado
</t>
    </r>
    <r>
      <rPr>
        <sz val="10"/>
        <rFont val="Soberana Sans"/>
        <family val="2"/>
      </rPr>
      <t xml:space="preserve"> Causa : El costo promedio de los proyectos fue más elevado a lo estimado en la programación, producto del procesos inflacionario, lo cual propició un resultado ligeramente inferior a la meta programada. Efecto: No tiene efectos económicos. Otros Motivos:</t>
    </r>
  </si>
  <si>
    <r>
      <t xml:space="preserve">Porcentaje de aportación de otras instancias para el financiamiento de encuentros nacionales interculturales respecto a los programado.
</t>
    </r>
    <r>
      <rPr>
        <sz val="10"/>
        <rFont val="Soberana Sans"/>
        <family val="2"/>
      </rPr>
      <t xml:space="preserve"> Causa : Derivado de la capacidad de gestión de las Unidades Operativas se logró una participación amplia y vigorosa de recursos por parte de  los programas de la CDI: Organización Productiva para Mujeres Indígenas (POPMI), Turismo Alternativo en Zonas Indígenas (PTAZI), de Coordinación para el apoyo a la producción indígena (PROCAPI), Fondos Regionales Indígenas (FRI), INAH, Secretarias de cultura de los Gobiernos Estatales y Municipales, instancias diferentes a la UR. Efecto: No tiene efectos económicos. Otros Motivos:</t>
    </r>
  </si>
  <si>
    <r>
      <t xml:space="preserve">Porcentaje de proyectos culturales presentados por Promotores Culturales Indígenas respecto a lo programado. 
</t>
    </r>
    <r>
      <rPr>
        <sz val="10"/>
        <rFont val="Soberana Sans"/>
        <family val="2"/>
      </rPr>
      <t xml:space="preserve"> Causa : Producto de la inflación, el costo promedio de los proyectos resulto más elevado del estimado en la programación por lo que los resultados alcanzados fueron menores a la meta programda. Efecto: No tiene efectos económicos. Otros Motivos:</t>
    </r>
  </si>
  <si>
    <r>
      <t xml:space="preserve">Porcentaje de proyectos culturales apoyados respecto a lo programado.
</t>
    </r>
    <r>
      <rPr>
        <sz val="10"/>
        <rFont val="Soberana Sans"/>
        <family val="2"/>
      </rPr>
      <t xml:space="preserve"> Causa : Existió un incremento de costos por modificaciones a los parámetros macroeconómicos establecidos en los criterios Generales de Política Económica, es decir, la inflación. repercutiendo en las metas alcanzadas disminuyendo el número de organizaciones tradicionales indígenas que fortalecieron su patrimonio cultural. Efecto: No tiene efectos económicos. Otros Motivos:</t>
    </r>
  </si>
  <si>
    <r>
      <t xml:space="preserve">Porcentaje de participación de la mujer indígena en proyectos culturales dirigidos al fortalecimiento de las manifestaciones culturales de los pueblos indígenas  respecto a lo programado.
</t>
    </r>
    <r>
      <rPr>
        <sz val="10"/>
        <rFont val="Soberana Sans"/>
        <family val="2"/>
      </rPr>
      <t xml:space="preserve"> Causa : Derivado de una disminución en el número de proyectos aprobados, también se vio afectada la composición de la participación de las mujeres indígenas.  El denominador, numerador e indicador de la Meta Aprobada aparece en Blanco, lo que influye en el Porcentaje de Cumplimiento de la Meta Alcanzada/Aprobada que es 0. La UR registró en tiempo y forma la meta del indicador así como su avance en el ejercicio fiscal. Efecto: No tiene efectos económicos. Otros Motivos:El denominador, numerador e indicador de la Meta Aprobada aparece en Blanco, lo que influye en el Porcentaje de Cumplimiento de la Meta Alcanzada/Aprobada que es 0. La UR registro en tiempo y forma la meta del indicador así como su avance en el ejercicio fiscal.</t>
    </r>
  </si>
  <si>
    <r>
      <t xml:space="preserve">Porcentaje de  organizaciones tradicionales indígenas convocadas que participan en los encuentros nacionales interculturales para difundir sus manifestaciones culturales respecto a lo programado.
</t>
    </r>
    <r>
      <rPr>
        <sz val="10"/>
        <rFont val="Soberana Sans"/>
        <family val="2"/>
      </rPr>
      <t xml:space="preserve"> Causa : Indicador modificado en el proceso de revisión, actualización, calendarización y segumiento de la Matriz de Indicadores para Resultados de  los programas presupuestarios 2013. Efecto: No tiene efectos económicos. Otros Motivos:El denominador, numerador e indicador de la Meta Aprobada aparece en Blanco, lo que influye en el Porcentaje de Cumplimiento de la Meta Alcanzada/Aprobada que es 0. La UR registró en tiempo y forma la meta del indicador así como su avance en el ejercicio fiscal.</t>
    </r>
  </si>
  <si>
    <r>
      <t xml:space="preserve">Porcentaje de promotores culturales indígenas capacitados respecto a lo programado
</t>
    </r>
    <r>
      <rPr>
        <sz val="10"/>
        <rFont val="Soberana Sans"/>
        <family val="2"/>
      </rPr>
      <t xml:space="preserve"> Causa : El Pp destino recursos para fortalecer el trabajo de los promotores culturales ubicados de manera estratégica en 20 estados del país.  Efecto: No tiene efectos económicos. Otros Motivos:</t>
    </r>
  </si>
  <si>
    <t>S185</t>
  </si>
  <si>
    <t>Programa de Coordinación para el Apoyo a la Producción Indígena (PROCAPI)</t>
  </si>
  <si>
    <t>Contribuir a la mejora del ingreso de los grupos y organizaciones beneficiadas en los municipios atendidos mediante el apoyo económico a proyectos productivos</t>
  </si>
  <si>
    <r>
      <t>Porcentaje de beneficiarios que incrementaron su ingreso derivado de los proyectos productivos implementados con apoyo del PROCAPI</t>
    </r>
    <r>
      <rPr>
        <i/>
        <sz val="10"/>
        <color indexed="30"/>
        <rFont val="Soberana Sans"/>
        <family val="3"/>
      </rPr>
      <t xml:space="preserve">
</t>
    </r>
  </si>
  <si>
    <t>[(Número de beneficiarios apoyados por el PROCAPI para implementar un proyecto productivo que incrementaron su ingreso derivado del mismo en el año t) /( Número de beneficiarios apoyados por el PROCAPI para implementar un proyecto productivo en el año t)]*100.</t>
  </si>
  <si>
    <t>Los Grupos y organizaciones atendidas desarrollan proyectos productivos sostenibles.</t>
  </si>
  <si>
    <r>
      <t>Porcentaje de proyectos productivos que continúan operando después de dos años de su apoyo</t>
    </r>
    <r>
      <rPr>
        <i/>
        <sz val="10"/>
        <color indexed="30"/>
        <rFont val="Soberana Sans"/>
        <family val="3"/>
      </rPr>
      <t xml:space="preserve">
Indicador Seleccionado</t>
    </r>
  </si>
  <si>
    <t>[(Número de proyectos productivos apoyados por el PROCAPI en el año t-2 y continúan operando en el año t) / (Número de proyectos productivos apoyados por el PROCAPI en el año t-2)]*100.</t>
  </si>
  <si>
    <t>A Apoyos económicos otorgados a productores indígenas para la ejecución de sus proyectos productivos.</t>
  </si>
  <si>
    <r>
      <t xml:space="preserve">Porcentaje de recursos económicos otorgados por las Instancias Ejecutoras respecto a los recursos económicos otorgados por el Programa para el apoyo a los proyectos productivos    </t>
    </r>
    <r>
      <rPr>
        <i/>
        <sz val="10"/>
        <color indexed="30"/>
        <rFont val="Soberana Sans"/>
        <family val="3"/>
      </rPr>
      <t xml:space="preserve">
</t>
    </r>
  </si>
  <si>
    <t xml:space="preserve">[(Monto aportado por las ejecutoras en el trimestre t)/(Monto aportado por el Programa en el trimestre t)] * 100 </t>
  </si>
  <si>
    <t>B Apoyos económicos otorgados a productores indígenas para la formulación de sus proyectos productivos con factibilidad de ser puestos en marcha</t>
  </si>
  <si>
    <r>
      <t>Porcentaje de proyectos apoyados para su formulación que se ponen en marcha</t>
    </r>
    <r>
      <rPr>
        <i/>
        <sz val="10"/>
        <color indexed="30"/>
        <rFont val="Soberana Sans"/>
        <family val="3"/>
      </rPr>
      <t xml:space="preserve">
</t>
    </r>
  </si>
  <si>
    <t>[(Número de proyectos  apoyados económicamente por el programa para su formulación que se ponen en marcha en el semestre t)/ (Número de proyectos apoyados económicamente para su formulación en el semestre t)]*100</t>
  </si>
  <si>
    <t>A 1 Autorización de recursos económicos para inversión fija en proyectos</t>
  </si>
  <si>
    <r>
      <t xml:space="preserve">Porcentaje de apoyos económicos entregados por el programa que se destinan a la inversión fija de los proyectos apoyados    </t>
    </r>
    <r>
      <rPr>
        <i/>
        <sz val="10"/>
        <color indexed="30"/>
        <rFont val="Soberana Sans"/>
        <family val="3"/>
      </rPr>
      <t xml:space="preserve">
</t>
    </r>
  </si>
  <si>
    <t>[(Apoyos económicos entregados por el Programa para la adquisición de activo fijo en el trimestre t) / (Apoyos económicos entregados por el Programa para apoyo a proyectos en el trimestre t)] * 100</t>
  </si>
  <si>
    <t>A 2 Supervisión de proyectos apoyados</t>
  </si>
  <si>
    <r>
      <t xml:space="preserve">Porcentaje de proyectos supervisados. </t>
    </r>
    <r>
      <rPr>
        <i/>
        <sz val="10"/>
        <color indexed="30"/>
        <rFont val="Soberana Sans"/>
        <family val="3"/>
      </rPr>
      <t xml:space="preserve">
</t>
    </r>
  </si>
  <si>
    <t>[(Número de proyectos supervisados en el año t)/(Número de proyectos seleccionados de una muestra aleatoria del año t-1)* 100</t>
  </si>
  <si>
    <t>A 3 Dictaminación de proyectos productivos</t>
  </si>
  <si>
    <r>
      <t>Porcentaje de proyectos con dictamen positivo que se insertan en circuitos comerciales</t>
    </r>
    <r>
      <rPr>
        <i/>
        <sz val="10"/>
        <color indexed="30"/>
        <rFont val="Soberana Sans"/>
        <family val="3"/>
      </rPr>
      <t xml:space="preserve">
</t>
    </r>
  </si>
  <si>
    <t>[(Número de proyectos con dictamen positivo que se insertan en circuitos comerciales en el año t) / (Número de proyectos con dictamen positivo en el año t)] *100</t>
  </si>
  <si>
    <t>A 4 Integración del padron de beneficiarios</t>
  </si>
  <si>
    <r>
      <t>Porcentaje de productores indígenas apoyados</t>
    </r>
    <r>
      <rPr>
        <i/>
        <sz val="10"/>
        <color indexed="30"/>
        <rFont val="Soberana Sans"/>
        <family val="3"/>
      </rPr>
      <t xml:space="preserve">
</t>
    </r>
  </si>
  <si>
    <t>[(Número de hombres mas el Número de mujeres integrantes de las organizaciones y grupos de trabajo que recibieron apoyos del Programa en el año t) / ( Número de beneficiarios programados para recibir apoyos del programa para el año t)] * 100</t>
  </si>
  <si>
    <t>B 5 Supervisión de la calidad de los proyectos formulados</t>
  </si>
  <si>
    <r>
      <t>Porcentaje de proyectos apoyados para su formulación que cumplen las especificaciones pactadas</t>
    </r>
    <r>
      <rPr>
        <i/>
        <sz val="10"/>
        <color indexed="30"/>
        <rFont val="Soberana Sans"/>
        <family val="3"/>
      </rPr>
      <t xml:space="preserve">
</t>
    </r>
  </si>
  <si>
    <t>[(Número de proyectos apoyados para su formulación en el trimestre t que cumplen los con los términos pactados)/(Número de proyectos apoyados para su formulación en el trimestre t)]*100</t>
  </si>
  <si>
    <r>
      <t xml:space="preserve">Porcentaje de beneficiarios que incrementaron su ingreso derivado de los proyectos productivos implementados con apoyo del PROCAPI
</t>
    </r>
    <r>
      <rPr>
        <sz val="10"/>
        <rFont val="Soberana Sans"/>
        <family val="2"/>
      </rPr>
      <t xml:space="preserve"> Causa : 10: Otras explicaciones a las variaciones, cuando se trate de resultados por encima del 100 % de cumplimiento        En el ejercicio fiscal 2010 (año de análisis del indicador según la fórmula planteada) se apoyaron grupos de trabajo y organizaciones legalmente constituidos que cumplieron la totalidad de los requisitos y políticas del programa, asimismo, se aplicaron los recursos conforme al proyecto planteado con el acompañamiento adecuado tanto por personal de la CDI como de las Instancias Ejecutoras, esto permitio el cumplimiento de los objetivos de cada proyecto. Efecto: 10: Otras explicaciones a las variaciones, cuando se trate de resultados por encima del 100 % de cumplimiento       No hay efecto económico, se corrobora que el beneficio que se recibe de la puesta en marcha de los proyectos productivos es duradero, siempre y cuando se cumplan las condiciones óptimas para la puesta en marcha de los proyectos. Otros Motivos:10: Otras explicaciones a las variaciones, cuando se trate de resultados por encima del 100 % de cumplimiento</t>
    </r>
  </si>
  <si>
    <r>
      <t xml:space="preserve">Porcentaje de proyectos productivos que continúan operando después de dos años de su apoyo
</t>
    </r>
    <r>
      <rPr>
        <sz val="10"/>
        <rFont val="Soberana Sans"/>
        <family val="2"/>
      </rPr>
      <t xml:space="preserve"> Causa : "10) Otras explicaciones a las variaciones, cuando se trate de resultados por encima del 100 % de cumplimiento          En el conjunto de proyectos que siguen operando después de dos años de haber otorgado el apoyo, predomina el número de organizaciones formalmente constituidas respecto al de grupos de trabajo. Se considera que esta condición es lo que ha permitido la continuidad de las actividades productivas. Estas organizaciones legalmente constituidas representaron el 28.6% del total de organizaciones apoyadas, las cuales se ubican en los estados de Campeche, Chiapas, Durango, Estado de México, Guerrero, Hidalgo, Jalisco, Michoacán de Ocampo, Morelos, Nayarit, Oaxaca, Puebla, Querétaro, Quintana Roo, San Luis Potosí, Sinaloa, Sonora y Veracruz.       Se considera como elemento fundamental para la permanencia de la operación de los proyectos productivos apoyados, que en su totalidad se incluyó el apartado de acompañamiento que incluye tanto la asistencia técnica para desarrollar su actividad productiva, como la capacitación para desarrollar conocimientos y habilidades que permitieron a las organizaciones apoyadas la materialización de sus proyectos productivos.        Efecto: 10) Otras explicaciones a las variaciones, cuando se trate de resultados por encima del 100 % de cumplimiento           El Gobierno Federal da cumplimiento al objetivo de contribuir a la solución de los problemas socioeconómicos que caracterizan a las zonas marginadas en donde encuentran las comunidades y pueblos indígenas de nuestro país. Entre los efectos socioeconómicos de apoyar económicamente sus actividades productivas, a través de la promoción y coordinación de las políticas publicas, para la inversión en proyectos productivos integrales, fomentando propuestas integrales que incluyeron la capacitación, la asistencia técnica y los mecanismos de comercialización, que complementaron y consolidaron la inversión en infraestructura productiva, equipamiento, materiales e insumos, destaca que los proyectos instalados y operados por la población indígena tenga elementos necesarios para garantizar la sostenibilidad de las actividades productivas desarrolladas y así contribuir a la superación de los rezagos, la promoción de su desarrollo integral y sustentable.       Con el logro de la meta de este indicador el Gobierno Federal cumple con fomentar que a través del apoyo de los proyectos productivos, se contribuya al desarrollo integral de los productores indígenas, sus comunidades y familias, la generación de ingresos y de empleos dignos y el desarrollo local y regional de dichos pueblos.       Con el logro de las metas de este indicador se contribuye a que los productores indígenas ejerzan en la práctica los mismos derechos y oportunidades que el resto de los mexicanos, al conjuntar esfuerzos y recursos de la Federación, las Entidades Federativas y los Municipios, así como de las organizaciones de la sociedad civil, a fin de que los productores indígenas puedan aprovechar su potencial productivo y oportunidades locales, ante las condiciones de mercados abiertos al exterior, que demandan mejorar significativamente la productividad, la innovación y competitividad.        Otros Motivos:10) Otras explicaciones a las variaciones, cuando se trate de resultados por encima del 100 % de cumplimiento</t>
    </r>
  </si>
  <si>
    <r>
      <t xml:space="preserve">Porcentaje de recursos económicos otorgados por las Instancias Ejecutoras respecto a los recursos económicos otorgados por el Programa para el apoyo a los proyectos productivos    
</t>
    </r>
    <r>
      <rPr>
        <sz val="10"/>
        <rFont val="Soberana Sans"/>
        <family val="2"/>
      </rPr>
      <t xml:space="preserve"> Causa : "9. Otras causas que por su naturaleza no es posible agrupar.       Al cierre del ejercicio fiscal 2013, se logró concertar acciones de coordinación con 69 Municipios pertenecientes a la Cruzada Nacional contra el Hambre, con los cuales las reglas de operación promueven su participación como instancias ejecutoras, participando con una mezcla de recursos del 20% de estos municipios y hasta el 80% se aportó por el programa, esto significó que el 39% de los proyectos apoyados consideraran esta mezcla y por tanto afectara el resultado del indicador. Efecto: "No hay efecto económico. "       se promueve el desarrollo desde la participación de los municipios considerados en la Cruzada Nacional contra el Hambre considerando su propia planeación. Otros Motivos:</t>
    </r>
  </si>
  <si>
    <r>
      <t xml:space="preserve">Porcentaje de proyectos apoyados para su formulación que se ponen en marcha
</t>
    </r>
    <r>
      <rPr>
        <sz val="10"/>
        <rFont val="Soberana Sans"/>
        <family val="2"/>
      </rPr>
      <t xml:space="preserve"> Causa : "9. Otras causas que por su naturaleza no es posible agrupar.     Al cierre del ejercicio fiscal 2013, las intancias ejecutoras no presentaron en tiempo y forma  las solicitudes de apoyo para la formulación de proyectos.      El Programa apoyó unicamente las propuestas que presentaron la documentación solicitada por las reglas de operación."      Efecto: No hay efecto económico. Se ejerció la totalidad de los recursos. Otros Motivos:</t>
    </r>
  </si>
  <si>
    <r>
      <t xml:space="preserve">Porcentaje de apoyos económicos entregados por el programa que se destinan a la inversión fija de los proyectos apoyados    
</t>
    </r>
    <r>
      <rPr>
        <sz val="10"/>
        <rFont val="Soberana Sans"/>
        <family val="2"/>
      </rPr>
      <t xml:space="preserve"> Causa : "10) Otras explicaciones a las variaciones, cuando se trate de resultados por encima del 100 por ciento de cumplimiento.       Durante el ejercicio fiscal 2013, se promovío que los recursos aportados por el Programa se canalizaran al apoyo de activos fijos como infraestructura productiva, maquinaria y equipamiento de los proyectos apoyados, que fortaleciera su capitalización como organización, no obstante, derivado de la necesidad de instalar proyectos integrales, se asignaron recursos del proyecto para el pago de otros componentes como la invesión diferida en capacitación y asistencia técnica y capital de trabajo para la adquisición de insumos y materias primas necesarias para el proyecto. Por otro lado, al cierre del ejercio fiscal 2013, el programa registró un incremento en el monto destinado a subsidios hasta alcanzar un monto de 227.4 millones de pesos y por tanto se logró canalizar mayores recursos para la inversión fija de los proyectos apoyados." Efecto: 10) Otras explicaciones a las variaciones, cuando se trate de resultados por encima del 100 por ciento de cumplimiento."No hay efecto económico". Se contribuyó en mayor medida a la capitalización de las organizaciones beneficiadas y al apoyo integral de los proyectos productivos operados por la población indígena. Otros Motivos:10) Otras explicaciones a las variaciones, cuando se trate de resultados por encima del 100 por ciento de cumplimiento.</t>
    </r>
  </si>
  <si>
    <r>
      <t xml:space="preserve">Porcentaje de proyectos supervisados. 
</t>
    </r>
    <r>
      <rPr>
        <sz val="10"/>
        <rFont val="Soberana Sans"/>
        <family val="2"/>
      </rPr>
      <t xml:space="preserve"> Causa : "i) Otras causa que por su naturaleza no es posible agrupar.      Durante el ejercicio fiscal 2013, no fue posible levantar la meta programada de cédulas de supervisión por las siguientes causas: no existieron condiciones técnicas en los Centros Coordinadores y Delegaciones de la CDI para la supervisión de la totalidad de los proyectos, existieron altas cargas de trabajo que interrumpieron las supervisiones programadas."       Efecto: No hay efecto económico. Se ejerció la totalidad del recurso.       Otros Motivos:</t>
    </r>
  </si>
  <si>
    <r>
      <t xml:space="preserve">Porcentaje de proyectos con dictamen positivo que se insertan en circuitos comerciales
</t>
    </r>
    <r>
      <rPr>
        <sz val="10"/>
        <rFont val="Soberana Sans"/>
        <family val="2"/>
      </rPr>
      <t xml:space="preserve"> Causa : 10) Otras explicaciones a las variaciones, cuando se trate de resultados por encima del 100 por ciento de cumplimiento.      Al cierre del ejercicio fiscal 2013, se logró el apoyo de proyectos que cumplieron el proceso de selección y validación que permitió apoyar a una mayor cantidad de proyectos productivos enfocados a mercados específicos y por tanto que se insertan en circuitos comerciales, lo cual afectó positivamente el valor de este indicador. Efecto: "10) Otras explicaciones a las variaciones, cuando se trate de resultados por encima del 100 por ciento de cumplimiento.No hay efecto económico. Se ejerció la totalidad de los recursos.      Se promueve la inserción de los productores indígenas a mercados específicos con productos que les permitan competír en los mercados planteados y con estos procurar mayores ingresos para sus familias."       Otros Motivos:10) Otras explicaciones a las variaciones, cuando se trate de resultados por encima del 100 por ciento de cumplimiento.      </t>
    </r>
  </si>
  <si>
    <r>
      <t xml:space="preserve">Porcentaje de productores indígenas apoyados
</t>
    </r>
    <r>
      <rPr>
        <sz val="10"/>
        <rFont val="Soberana Sans"/>
        <family val="2"/>
      </rPr>
      <t xml:space="preserve"> Causa : 10) Otras explicaciones a las variaciones, cuando se trate de resultados por encima del 100 por ciento de cumplimiento.   La variación registrada en el porcentaje de cumplimiento Alcanzada/Aprobada respecto a la meta programada originalmente es producto del ajuste al denominador del indicador ¿Porcentaje de productores indígenas apoyados¿ que se realizó como base en los ¿Lineamientos para la revisión, actualización, calendarización y seguimiento de la Matriz de Indicadores para Resultados de los programas presupuestarios 2013¿. El denominador pasó de un valor de 11,132,562 productores a 5,393,054 productores. El primer dato corresponde a la totalidad de población indígena, el segundo a la población indígena mayor de 18 años, lo que a su vez modificó el indicador de resultados de 0.19 a 0.16.    No obstante, el resultado al cierre del presente ejercicio fiscal, indican que el porcentaje de cumplimiento respecto a la meta modificada es menor debido a que el número de solicitudes de apoyo de Instancias Ejecutoras fue menor al programado debido principalmente a que dichas Instancias se retrasaron en la integración de los expedientes técnicos y en el procesos de atención a las observaciones derivadas de su revisión, aunado a lo anterior el 20% de los proyectos apoyados, incluyeron a un número menor de integrantes respecto a la media programada de 10 socios por organización. Por lo anterior, aunque se logró la meta aprobada, no se alcanzó a beneficiar a los 10,300 productores indígenas originalmente planteados. Efecto: 10) Otras explicaciones a las variaciones, cuando se trate de resultados por encima del 100 por ciento de cumplimiento.    "No hay efecto económico.        Se promueve la ejecución de proyectos que cosideren una adecuda congruencia entre la actividad productiva a desarrollar y el número de integrantes de las mismas."           Otros Motivos:</t>
    </r>
  </si>
  <si>
    <r>
      <t xml:space="preserve">Porcentaje de proyectos apoyados para su formulación que cumplen las especificaciones pactadas
</t>
    </r>
    <r>
      <rPr>
        <sz val="10"/>
        <rFont val="Soberana Sans"/>
        <family val="2"/>
      </rPr>
      <t xml:space="preserve"> Causa : "i) Otras causa que por su naturaleza no es posible agrupar.      Al cierre  del presente ejercicio fiscal, las instancias ejecutoras no cumplieron con la totalidad de los requisitos solicitados en las reglas de operación del Programa, por lo cual no fue posible otorgar el total de los apoyos programados, así mismo, las instancias ejecutoras optaron por ingresar sus propuestas directamente para su apoyo intregral en cuya estructura de inversión ya consideraba el diseño del proyecto a desarrollar y por tanto las solicitudes para diseño de proyecto no fueron presentadas en el número que se había programado, lo que afectó negativamente el valor del denominador de este indicador." Efecto: No hay efecto económico. Se ejerció la totalidad del recurso. Otros Motivos:</t>
    </r>
  </si>
  <si>
    <t>S199</t>
  </si>
  <si>
    <t>Programa de Seguro para Contingencias Climatológicas</t>
  </si>
  <si>
    <t>Contribuir al desarrollo del seguro y administración integral de riesgos para la protección de la actividad agropecuaria con Seguros Paramétricos Agrícolas (SPA).</t>
  </si>
  <si>
    <r>
      <t>Porcentaje de participación de las primas con subsidio del Programa en relación al total de primas de seguros agrícolas en el Sistema Nacional de Aseguramiento al Medio Rural (SNAMR)</t>
    </r>
    <r>
      <rPr>
        <i/>
        <sz val="10"/>
        <color indexed="30"/>
        <rFont val="Soberana Sans"/>
        <family val="3"/>
      </rPr>
      <t xml:space="preserve">
Indicador Seleccionado</t>
    </r>
  </si>
  <si>
    <t>[(Monto total en pesos de las primas con subsidios del Programa en el año t) / (Monto total en pesos de las primas de seguros agrícolas con subsidio reportadas en el  SNAMR en el año t)] *100</t>
  </si>
  <si>
    <t>Incrementar la superficie asegurada con subsidio a la prima de aseguramientos catastróficos (SPA) con recursos del Programa en áreas geográficas de estados y municipios que la SAGARPA determine como prioritarios.</t>
  </si>
  <si>
    <r>
      <t>Tasa de variación de la superficie agrícola asegurada con subsidio del Programa.</t>
    </r>
    <r>
      <rPr>
        <i/>
        <sz val="10"/>
        <color indexed="30"/>
        <rFont val="Soberana Sans"/>
        <family val="3"/>
      </rPr>
      <t xml:space="preserve">
</t>
    </r>
  </si>
  <si>
    <t>[((Número de hectáreas agrícolas apoyadas con subsidio del Programa en el año t) / (Promedio de las hectáreas agrícolas apoyadas con subsidio del Programa en los años t-1, t-2, t-3, t-4 y t-5) -  1)]*100.</t>
  </si>
  <si>
    <t>A El apoyo económico se aplicó para el pago de la prima del seguro SPA adquirido por la SAGARPA.</t>
  </si>
  <si>
    <r>
      <t>Porcentaje de participación de los recursos del Programa para el  pago de las  primas de Seguros paramétricos agrícolas contratados por la SAGARPA en relación al total de primas de Seguros paramétricos agrícolas contratados por la SAGARPA</t>
    </r>
    <r>
      <rPr>
        <i/>
        <sz val="10"/>
        <color indexed="30"/>
        <rFont val="Soberana Sans"/>
        <family val="3"/>
      </rPr>
      <t xml:space="preserve">
</t>
    </r>
  </si>
  <si>
    <t>[(Monto en pesos de las primas totales con subsidio del Programa en el año t) / (Monto en pesos de las primas totales de los Seguros Paramétricos Agrícolas contratados por la SAGARPA en el año t)] * 100</t>
  </si>
  <si>
    <t>A 1 Pago de las polizas de los seguros Paramétricos Agricolas, determinadas por la SAGARPA.</t>
  </si>
  <si>
    <r>
      <t>Porcentaje de pólizas pagadas con recursos del Programa respecto del total de las pólizas de los Seguros Paramétricos Agrícolas, determinadas por la SAGARPA</t>
    </r>
    <r>
      <rPr>
        <i/>
        <sz val="10"/>
        <color indexed="30"/>
        <rFont val="Soberana Sans"/>
        <family val="3"/>
      </rPr>
      <t xml:space="preserve">
</t>
    </r>
  </si>
  <si>
    <t>[(Número de póliza pagadas con recursos del Programa en el año t) / (Total de pólizas emitidas por AGROASEMEX año t)] * 100</t>
  </si>
  <si>
    <r>
      <t xml:space="preserve">Porcentaje de participación de las primas con subsidio del Programa en relación al total de primas de seguros agrícolas en el Sistema Nacional de Aseguramiento al Medio Rural (SNAMR)
</t>
    </r>
    <r>
      <rPr>
        <sz val="10"/>
        <rFont val="Soberana Sans"/>
        <family val="2"/>
      </rPr>
      <t xml:space="preserve"> Causa : El incremento en las operaciones del SNAMR al cierre de 2013 y los recursos del programa de contingencias permaneció sin cambios.      Efecto: Disminución en la participación del programa de seguro de contingencias climatológicas en el aseguramiento rural.      Otros Motivos:</t>
    </r>
  </si>
  <si>
    <r>
      <t xml:space="preserve">Tasa de variación de la superficie agrícola asegurada con subsidio del Programa.
</t>
    </r>
    <r>
      <rPr>
        <sz val="10"/>
        <rFont val="Soberana Sans"/>
        <family val="2"/>
      </rPr>
      <t xml:space="preserve"> Causa : En 2013 el presupuesto del programa disminuyo para ubicarse sólo en 94.5 MP      Efecto: La meta propuesta respecto al promedio de los últimos cinco años se vio disminuida en 69.64%      Otros Motivos:</t>
    </r>
  </si>
  <si>
    <r>
      <t xml:space="preserve">Porcentaje de participación de los recursos del Programa para el  pago de las  primas de Seguros paramétricos agrícolas contratados por la SAGARPA en relación al total de primas de Seguros paramétricos agrícolas contratados por la SAGARPA
</t>
    </r>
    <r>
      <rPr>
        <sz val="10"/>
        <rFont val="Soberana Sans"/>
        <family val="2"/>
      </rPr>
      <t xml:space="preserve"> Causa : Incremento de la demanda de seguros catastróficos por parte de la SAGARPA y el presupuesto del programa permaneció sin cambios para 2013.     Efecto: Una menor participación del programa de seguro de contingencias climatológicas, ya que el monto de recursos asginado fue menor al de años anteriores.     Otros Motivos:</t>
    </r>
  </si>
  <si>
    <r>
      <t xml:space="preserve">Porcentaje de pólizas pagadas con recursos del Programa respecto del total de las pólizas de los Seguros Paramétricos Agrícolas, determinadas por la SAGARPA
</t>
    </r>
    <r>
      <rPr>
        <sz val="10"/>
        <rFont val="Soberana Sans"/>
        <family val="2"/>
      </rPr>
      <t xml:space="preserve"> Causa : Aumento en las operaciones del seguro catastrófico y disminución del monto de recursos asignados al programa de contingencias, así como incremento en el costo de primas.      Efecto: Disminución del número de pólizas pagadas con los recursos del programa.      Otros Motivos:</t>
    </r>
  </si>
  <si>
    <t>S239</t>
  </si>
  <si>
    <t>Acciones para la igualdad de género con población indígena</t>
  </si>
  <si>
    <t>Contribuir a una adecuada calidad de vida de las mujeres indígenas del país</t>
  </si>
  <si>
    <r>
      <t>Mejora en las condiciones para el ejercicio de los derechos de las mujeres indígenas</t>
    </r>
    <r>
      <rPr>
        <i/>
        <sz val="10"/>
        <color indexed="30"/>
        <rFont val="Soberana Sans"/>
        <family val="3"/>
      </rPr>
      <t xml:space="preserve">
</t>
    </r>
  </si>
  <si>
    <t>(Número de mujeres indígenas encuestadas, atendidas por el Programa durante el sexenio que mejoraron sus condiciones para el ejercicio de los derechos sexuales y reproductivos, a una vida libre de violencia y a la participación política / Número total de mujeres indígenas encuestadas atendidas por el Programa durante el sexenio) X 100</t>
  </si>
  <si>
    <t>Las mujeres indígenas del país tienen condiciones para el ejercicio pleno de sus derechos sexuales y reproductivos, a una vida libre de violencia y a la participación política</t>
  </si>
  <si>
    <r>
      <t>Porcetaje de incremento anual de acciones realizadas por las instituciones y organizaciones para el ejercicio de los derechos sexuales y reproductivos, a una vida libre de violencia y a la participación política de las mujeres indígenas en los municipios intervenidos por el Programa</t>
    </r>
    <r>
      <rPr>
        <i/>
        <sz val="10"/>
        <color indexed="30"/>
        <rFont val="Soberana Sans"/>
        <family val="3"/>
      </rPr>
      <t xml:space="preserve">
Indicador Seleccionado</t>
    </r>
  </si>
  <si>
    <t xml:space="preserve">((Número de acciones realizadas por las instituciones y organizaciones en el año - Número de acciones realizadas por las instituciones y organizaciones el año anterior) / Número de acciones realizadas por las instituciones y organizaciones el año anterior) X 100  </t>
  </si>
  <si>
    <t>A Apoyos económicos entregados a instituciones de gobierno municipales y estatales que promuevan el ejercicio del derecho de las mujeres indígenas a una vida libre de violencia</t>
  </si>
  <si>
    <r>
      <t>Apoyos a instituciones de gobierno</t>
    </r>
    <r>
      <rPr>
        <i/>
        <sz val="10"/>
        <color indexed="30"/>
        <rFont val="Soberana Sans"/>
        <family val="3"/>
      </rPr>
      <t xml:space="preserve">
</t>
    </r>
  </si>
  <si>
    <t>(Número de instituciones de gobiernos municipales y estatales que ejecutan acciones para el ejercicio del derecho de las mujeres indígenas a una vida libre de violencia / Número total de instituciones de gobiernos municipales y estatales en municipios indígenas) X 100</t>
  </si>
  <si>
    <t>B Apoyos económicos entregados a grupos de mujeres indígenas que identifican, incorporan, proyectan y potencializan el ejercicio de los derechos sexuales y reproductivos y a una vida libre de violencia de las mujeres indígenas</t>
  </si>
  <si>
    <r>
      <t>Apoyos a Casas de la Mujer</t>
    </r>
    <r>
      <rPr>
        <i/>
        <sz val="10"/>
        <color indexed="30"/>
        <rFont val="Soberana Sans"/>
        <family val="3"/>
      </rPr>
      <t xml:space="preserve">
</t>
    </r>
  </si>
  <si>
    <t>(Número de grupos de mujeres que identifican, incorporan, proyectan y potencializan el ejercicio de los derechos sexuales y reproductivos y a una vida libre de violencia de las mujeres indígenas / Número total de grupos de mujeres indígenas financiados) X 100</t>
  </si>
  <si>
    <t>C Apoyos económicos entregados a actores sociales que inciden en la promoción, defensa y ejercicio de los derechos de las mujeres indígenas</t>
  </si>
  <si>
    <r>
      <t>Apoyos a actores sociales</t>
    </r>
    <r>
      <rPr>
        <i/>
        <sz val="10"/>
        <color indexed="30"/>
        <rFont val="Soberana Sans"/>
        <family val="3"/>
      </rPr>
      <t xml:space="preserve">
</t>
    </r>
  </si>
  <si>
    <t>(Número de proyectos realizados que inciden en la promoción, defensa y ejercicio de los derechos de las mujeres indígenas / Número total de proyectos autorizados) X 100</t>
  </si>
  <si>
    <t>A 1 Presentación de proyectos de instituciones de gobierno a partir de la correspondiente Convocatoria</t>
  </si>
  <si>
    <r>
      <t>Efectividad de la convocatoria para instituciones de gobierno</t>
    </r>
    <r>
      <rPr>
        <i/>
        <sz val="10"/>
        <color indexed="30"/>
        <rFont val="Soberana Sans"/>
        <family val="3"/>
      </rPr>
      <t xml:space="preserve">
</t>
    </r>
  </si>
  <si>
    <t>(Número de instituciones que se enteran de la Convocatoria por los medios en que el Programa la publica / Número total de instituciones que presentar proyectos) X 100</t>
  </si>
  <si>
    <t>A 2 Autorización de proyectos de instituciones de gobierno que cumplan con los objetivos del Programa</t>
  </si>
  <si>
    <r>
      <t>Atención de la demanda de instituciones de gobierno</t>
    </r>
    <r>
      <rPr>
        <i/>
        <sz val="10"/>
        <color indexed="30"/>
        <rFont val="Soberana Sans"/>
        <family val="3"/>
      </rPr>
      <t xml:space="preserve">
</t>
    </r>
  </si>
  <si>
    <t>(Número de proyectos autorizados a instituciones de gobiernos municipales y estatales / Número total de proyectos recibidos de instituciones de gobiernos municipales y estatales) X 100</t>
  </si>
  <si>
    <t>A 3 Entrega oportuna de apoyos a instituciones</t>
  </si>
  <si>
    <r>
      <t>Oportunidad de entrega de apoyos a instituciones de gobierno</t>
    </r>
    <r>
      <rPr>
        <i/>
        <sz val="10"/>
        <color indexed="30"/>
        <rFont val="Soberana Sans"/>
        <family val="3"/>
      </rPr>
      <t xml:space="preserve">
</t>
    </r>
  </si>
  <si>
    <t>(Número de apoyos entregados oportunamente a instituciones de gobiernos municipales y estatales en los tiempos que establecen las Reglas de Operación / Número total de apoyos entregados a instituciones de gobiernos municipales y estatales) X 100</t>
  </si>
  <si>
    <t>A 4 Desarrollo y conclusión adecuados de los proyectos de instituciones de gobierno para el cumplimiento de los objetivos del Programa</t>
  </si>
  <si>
    <r>
      <t>Cumplimiento de programación de instituciones de gobierno</t>
    </r>
    <r>
      <rPr>
        <i/>
        <sz val="10"/>
        <color indexed="30"/>
        <rFont val="Soberana Sans"/>
        <family val="3"/>
      </rPr>
      <t xml:space="preserve">
</t>
    </r>
  </si>
  <si>
    <t>(Número de proyectos de instituciones de gobiernos municipales y estatales que cumplen en tiempo y forma con su programa de trabajo / Número total de proyectos autorizados a instituciones de gobiernos municipales y estatales) X 100</t>
  </si>
  <si>
    <t>B 5 Entrega oportuna de apoyos a CAMIs</t>
  </si>
  <si>
    <r>
      <t>Oportunidad de entrega de apoyos a Casas de la Mujer</t>
    </r>
    <r>
      <rPr>
        <i/>
        <sz val="10"/>
        <color indexed="30"/>
        <rFont val="Soberana Sans"/>
        <family val="3"/>
      </rPr>
      <t xml:space="preserve">
</t>
    </r>
  </si>
  <si>
    <t>(Número de apoyos entregados oportunamente a grupos de mujeres indígenas de acuerdo a las Reglas de Operación / Número total de apoyos entregados a grupos de mujeres indígenas) X 100</t>
  </si>
  <si>
    <t>B 6 Autorización de proyectos de CAMIs que cumplan con los objetivos del Programa</t>
  </si>
  <si>
    <r>
      <t>Atención de la demanda de Casas de la Mujer</t>
    </r>
    <r>
      <rPr>
        <i/>
        <sz val="10"/>
        <color indexed="30"/>
        <rFont val="Soberana Sans"/>
        <family val="3"/>
      </rPr>
      <t xml:space="preserve">
</t>
    </r>
  </si>
  <si>
    <t>(Número de proyectos autorizados a grupos de mujeres indígenas / número total de proyectos recibidos de grupos de mujeres indígenas) X 100</t>
  </si>
  <si>
    <t>B 7 Presentación de proyectos de CAMIs a partir de la correspondiente Convocatoria</t>
  </si>
  <si>
    <r>
      <t>Efectividad de la convocatoria para Casas de la Mujer</t>
    </r>
    <r>
      <rPr>
        <i/>
        <sz val="10"/>
        <color indexed="30"/>
        <rFont val="Soberana Sans"/>
        <family val="3"/>
      </rPr>
      <t xml:space="preserve">
</t>
    </r>
  </si>
  <si>
    <t>(Número de grupos de mujeres indígenas que se enteran de la Convocatoria por los medios en que el Programa la publica / Número total de grupos de mujeres indígenas que presentan proyectos) X 100</t>
  </si>
  <si>
    <t>B 8 Desarrollo y conclusión adecuados de los proyectos de CAMIs para el cumplimiento de los objetivos del Programa</t>
  </si>
  <si>
    <r>
      <t>Cumplimiento de programación de Casas de la Mujer</t>
    </r>
    <r>
      <rPr>
        <i/>
        <sz val="10"/>
        <color indexed="30"/>
        <rFont val="Soberana Sans"/>
        <family val="3"/>
      </rPr>
      <t xml:space="preserve">
</t>
    </r>
  </si>
  <si>
    <t>(Número de proyectos de mujeres indígenas que cumplen en tiempo y forma con su programa de trabajo / Número total de proyectos autorizados a grupos de mujeres indígenas) X 100</t>
  </si>
  <si>
    <t>C 9 Presentación de proyectos de actores sociales a partir de la correspondiente Convocatoria</t>
  </si>
  <si>
    <r>
      <t>Efectividad de convocatorias para actores sociales</t>
    </r>
    <r>
      <rPr>
        <i/>
        <sz val="10"/>
        <color indexed="30"/>
        <rFont val="Soberana Sans"/>
        <family val="3"/>
      </rPr>
      <t xml:space="preserve">
</t>
    </r>
  </si>
  <si>
    <t>(Número de actores sociales que se enteran de la Convocatoria por los medios en que el Programa la publica / Número total de actores sociales que presentar proyectos) X 100</t>
  </si>
  <si>
    <t>C 10 Autorización de proyectos de actores sociales que cumplan con los objetivos del Programa</t>
  </si>
  <si>
    <r>
      <t>Atención de la demanda de actores sociales</t>
    </r>
    <r>
      <rPr>
        <i/>
        <sz val="10"/>
        <color indexed="30"/>
        <rFont val="Soberana Sans"/>
        <family val="3"/>
      </rPr>
      <t xml:space="preserve">
</t>
    </r>
  </si>
  <si>
    <t>(Número de proyectos autorizados a actores sociales / Número total de proyectos recibidos de actores sociales) X 100</t>
  </si>
  <si>
    <t>C 11 Entrega oportuna de apoyos a actores sociales</t>
  </si>
  <si>
    <r>
      <t>Oportunidad de entrega de apoyos a actores sociales</t>
    </r>
    <r>
      <rPr>
        <i/>
        <sz val="10"/>
        <color indexed="30"/>
        <rFont val="Soberana Sans"/>
        <family val="3"/>
      </rPr>
      <t xml:space="preserve">
</t>
    </r>
  </si>
  <si>
    <t>(Número de apoyos entregados a actores sociales en los tiempos que establecen las Reglas de Operación / Número total de apoyos entregados a actores sociales) X 100</t>
  </si>
  <si>
    <t>C 12 Desarrollo y conclusión adecuados de los proyectos de actores sociales para el cumplimiento de los objetivos del Programa</t>
  </si>
  <si>
    <r>
      <t>Cumplimiento de programación de actores sociales</t>
    </r>
    <r>
      <rPr>
        <i/>
        <sz val="10"/>
        <color indexed="30"/>
        <rFont val="Soberana Sans"/>
        <family val="3"/>
      </rPr>
      <t xml:space="preserve">
</t>
    </r>
  </si>
  <si>
    <t>(Número de proyectos de actores sociales que cumplen en tiempo y forma con su programa de trabajo / Número total de proyectos autorizados a actores sociales) X 100</t>
  </si>
  <si>
    <r>
      <t xml:space="preserve">Mejora en las condiciones para el ejercicio de los derechos de las mujeres indígenas
</t>
    </r>
    <r>
      <rPr>
        <sz val="10"/>
        <rFont val="Soberana Sans"/>
        <family val="2"/>
      </rPr>
      <t xml:space="preserve"> Causa : Al ser un incador sexenal, para el 2013 se contemplaba el indicador en cero. Efecto:  Otros Motivos:</t>
    </r>
  </si>
  <si>
    <r>
      <t xml:space="preserve">Porcetaje de incremento anual de acciones realizadas por las instituciones y organizaciones para el ejercicio de los derechos sexuales y reproductivos, a una vida libre de violencia y a la participación política de las mujeres indígenas en los municipios intervenidos por el Programa
</t>
    </r>
    <r>
      <rPr>
        <sz val="10"/>
        <rFont val="Soberana Sans"/>
        <family val="2"/>
      </rPr>
      <t xml:space="preserve"> Causa : En 2013 se tuvo un presupuesto casi 50% mayor al del 2012, de ahí que fuera posible atender más demanda que la originalmente contemplada. Efecto: No tiene efectos económicos. Otros Motivos:</t>
    </r>
  </si>
  <si>
    <r>
      <t xml:space="preserve">Apoyos a instituciones de gobierno
</t>
    </r>
    <r>
      <rPr>
        <sz val="10"/>
        <rFont val="Soberana Sans"/>
        <family val="2"/>
      </rPr>
      <t xml:space="preserve"> Causa : Se aumentó el presupuesto para este tipo de proyectos, lo cual permitió apoyar más de los programados. No obstante existió un decremento con respecto al primer semestre (de 120 a 119 instituciones) debido a que una de las instituciones de gobierno no realizó el proyecto autorizado. Efecto: No tiene efectos económicos. Otros Motivos:</t>
    </r>
  </si>
  <si>
    <r>
      <t xml:space="preserve">Apoyos a Casas de la Mujer
</t>
    </r>
    <r>
      <rPr>
        <sz val="10"/>
        <rFont val="Soberana Sans"/>
        <family val="2"/>
      </rPr>
      <t xml:space="preserve"> Causa : El programa consideró como meta del ejercicio fiscal 2013 el fortalecimiento de las actividades en 9 Casas de la Mujer. Como resultado de la evaluación anual de los trabajos realizados en la CAMIS, se tiene que 6 han consolidado la forma de realización de sus actividades y con ello cumplen con los elementos establecidos en el indicador. Efecto: No tiene efectos económicos. Otros Motivos:</t>
    </r>
  </si>
  <si>
    <r>
      <t xml:space="preserve">Apoyos a actores sociales
</t>
    </r>
    <r>
      <rPr>
        <sz val="10"/>
        <rFont val="Soberana Sans"/>
        <family val="2"/>
      </rPr>
      <t xml:space="preserve"> Causa : Se aumentó el presupuesto para este tipo de proyectos, lo cual permitió apoyar más de los programados. No obstante existió un decremento con respecto al primer semestre (de 173 a 172 organizaciones) debido a que una de las organizaciones no realizó el proyecto autorizado. Efecto: No tiene efectos económicos. Otros Motivos:</t>
    </r>
  </si>
  <si>
    <r>
      <t xml:space="preserve">Efectividad de la convocatoria para instituciones de gobierno
</t>
    </r>
    <r>
      <rPr>
        <sz val="10"/>
        <rFont val="Soberana Sans"/>
        <family val="2"/>
      </rPr>
      <t xml:space="preserve"> Causa : Varias de las instituciones que se enteraron de la convocatoria fue por medios distintos a la página web y las radios. No obstante, la comunicación directa por parte del personal de la CDI fue importante. Efecto: No tiene efectos económicos. Otros Motivos:</t>
    </r>
  </si>
  <si>
    <r>
      <t xml:space="preserve">Atención de la demanda de instituciones de gobierno
</t>
    </r>
    <r>
      <rPr>
        <sz val="10"/>
        <rFont val="Soberana Sans"/>
        <family val="2"/>
      </rPr>
      <t xml:space="preserve"> Causa : Las propuestas de las instituciones resultaron de mayor calidad que la esperada, además que hubo un aumento de presupuesto destinado para este tipo de apoyos. Efecto: No tiene efectos económicos. Otros Motivos:</t>
    </r>
  </si>
  <si>
    <r>
      <t xml:space="preserve">Oportunidad de entrega de apoyos a instituciones de gobierno
</t>
    </r>
    <r>
      <rPr>
        <sz val="10"/>
        <rFont val="Soberana Sans"/>
        <family val="2"/>
      </rPr>
      <t xml:space="preserve"> Causa : La veda electoral en varias entidades impidió que los recursos se entregaran en los tiempos que indican las Reglas de Operación. Asimismo, los trámites administrativos que realizan las Delegaciones retrasaron los procesos. Efecto: No tiene efectos económicos. Otros Motivos:</t>
    </r>
  </si>
  <si>
    <r>
      <t xml:space="preserve">Cumplimiento de programación de instituciones de gobierno
</t>
    </r>
    <r>
      <rPr>
        <sz val="10"/>
        <rFont val="Soberana Sans"/>
        <family val="2"/>
      </rPr>
      <t xml:space="preserve"> Causa : Se autorizaron más proyectos que los originalmente programados para instancias de gobierno; correspondientemente, esto hizo que aumentara el número de las que cumplieron con su programa de trabajo. Efecto: No tiene efectos económicos. Otros Motivos:</t>
    </r>
  </si>
  <si>
    <r>
      <t xml:space="preserve">Oportunidad de entrega de apoyos a Casas de la Mujer
</t>
    </r>
    <r>
      <rPr>
        <sz val="10"/>
        <rFont val="Soberana Sans"/>
        <family val="2"/>
      </rPr>
      <t xml:space="preserve"> Causa : La veda electoral en varias entidades impidió que los recursos se entregaran en los tiempos que indican las Reglas de Operación. Asimismo, los trámites administrativos que realizan las Delegaciones retrasaron los procesos. Efecto: No tiene efectos económicos. Otros Motivos:</t>
    </r>
  </si>
  <si>
    <r>
      <t xml:space="preserve">Atención de la demanda de Casas de la Mujer
</t>
    </r>
    <r>
      <rPr>
        <sz val="10"/>
        <rFont val="Soberana Sans"/>
        <family val="2"/>
      </rPr>
      <t xml:space="preserve"> Causa : Si bien originalmente se había programado abrir 5 Casas de la Mujer Indígena, los proyectos que para ello se presentaron fueron de calidad deficiente, lo que originó que sólo se autorizaran 3. Asimismo, una de las existentes no presentó proyecto en 2013. Efecto: No tiene efectos económicos. Otros Motivos:</t>
    </r>
  </si>
  <si>
    <r>
      <t xml:space="preserve">Efectividad de la convocatoria para Casas de la Mujer
</t>
    </r>
    <r>
      <rPr>
        <sz val="10"/>
        <rFont val="Soberana Sans"/>
        <family val="2"/>
      </rPr>
      <t xml:space="preserve"> Causa : La mayoría de los grupos de mujeres que se enteraron de la convocatoria, fue por medios distintos a la página web y las radios. No obstante, la comunicación directa por parte del personal de la CDI fue importante. Efecto: No tiene efectos económicos. Otros Motivos:</t>
    </r>
  </si>
  <si>
    <r>
      <t xml:space="preserve">Cumplimiento de programación de Casas de la Mujer
</t>
    </r>
    <r>
      <rPr>
        <sz val="10"/>
        <rFont val="Soberana Sans"/>
        <family val="2"/>
      </rPr>
      <t xml:space="preserve"> Causa : Los programas de trabajo que se cumplieron fueron 18, debido a que una de las casas no presentó propuesta, adicionalmente aunque se autorizaron 3 Casas nuevas, no cumplieron a tiempo con su programación porque implica construcción y se retrasó el cumplimiento Efecto: No tiene efectos económicos. Otros Motivos:</t>
    </r>
  </si>
  <si>
    <r>
      <t xml:space="preserve">Efectividad de convocatorias para actores sociales
</t>
    </r>
    <r>
      <rPr>
        <sz val="10"/>
        <rFont val="Soberana Sans"/>
        <family val="2"/>
      </rPr>
      <t xml:space="preserve"> Causa : Varias organizaciones de la sociedad civil e instituciones académicas (es decir, actores sociales) que se enteraron de las convocatorias fue por medios distintos a la página web y las radios. No obstante, la comunicación directa por parte del personal de la CDI fue importante. Efecto: No tiene efectos económicos. Otros Motivos:</t>
    </r>
  </si>
  <si>
    <r>
      <t xml:space="preserve">Atención de la demanda de actores sociales
</t>
    </r>
    <r>
      <rPr>
        <sz val="10"/>
        <rFont val="Soberana Sans"/>
        <family val="2"/>
      </rPr>
      <t xml:space="preserve"> Causa : Las propuestas presentadas por actores sociales resultaron de mayor calidad que la esperada, además que hubo aumento de presupuesto para estos apoyos. Existió un decremento con respecto al primer semestre (de 173 a 172 organizaciones) debido a que una de las organizaciones no realizó el proyecto autorizado. Efecto: No tiene efectos económicos. Otros Motivos:</t>
    </r>
  </si>
  <si>
    <r>
      <t xml:space="preserve">Oportunidad de entrega de apoyos a actores sociales
</t>
    </r>
    <r>
      <rPr>
        <sz val="10"/>
        <rFont val="Soberana Sans"/>
        <family val="2"/>
      </rPr>
      <t xml:space="preserve"> Causa : La veda electoral en varias entidades impidió que los recursos se entregaran en los tiempos que indican las Reglas de Operación. Asimismo, los trámites administrativos que realizan las Delegaciones retrasaron los  procesos. Efecto: No tiene efectos económicos. Otros Motivos:</t>
    </r>
  </si>
  <si>
    <r>
      <t xml:space="preserve">Cumplimiento de programación de actores sociales
</t>
    </r>
    <r>
      <rPr>
        <sz val="10"/>
        <rFont val="Soberana Sans"/>
        <family val="2"/>
      </rPr>
      <t xml:space="preserve"> Causa : Se autorizaron más proyectos que los originalmente programados para los actores sociales; correspondientemente, esto hizo que aumentara el número de los que cumplieron con su programa de trabajo. Efecto: No tiene efectos económicos. Otros Motivos:</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</si>
</sst>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3" fontId="19" fillId="0" borderId="40" xfId="0" applyNumberFormat="1" applyFont="1" applyBorder="1" applyAlignment="1">
      <alignment horizontal="right" vertical="top" wrapText="1"/>
    </xf>
    <xf numFmtId="3" fontId="19" fillId="0" borderId="43" xfId="0" applyNumberFormat="1" applyFont="1" applyBorder="1" applyAlignment="1">
      <alignment horizontal="right" vertical="top" wrapText="1"/>
    </xf>
    <xf numFmtId="0" fontId="0" fillId="0" borderId="0" xfId="0" applyAlignment="1">
      <alignment horizontal="center" vertical="top" wrapText="1"/>
    </xf>
    <xf numFmtId="4" fontId="0" fillId="0" borderId="41" xfId="0" applyNumberFormat="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0" fillId="0" borderId="40" xfId="0" applyFill="1" applyBorder="1" applyAlignment="1">
      <alignment horizontal="justify" vertical="top" wrapText="1"/>
    </xf>
    <xf numFmtId="0" fontId="0" fillId="0" borderId="43" xfId="0" applyFill="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abSelected="1" view="pageBreakPreview" zoomScale="85" zoomScaleNormal="80" zoomScaleSheetLayoutView="85" workbookViewId="0">
      <selection activeCell="AD70" sqref="AD70"/>
    </sheetView>
  </sheetViews>
  <sheetFormatPr baseColWidth="10" defaultColWidth="5" defaultRowHeight="12.75" x14ac:dyDescent="0.2"/>
  <cols>
    <col min="1" max="1" width="3.5" style="1" customWidth="1"/>
    <col min="2" max="16384" width="5" style="1"/>
  </cols>
  <sheetData>
    <row r="1" spans="2:30" s="2" customFormat="1" ht="48" customHeight="1" x14ac:dyDescent="0.2">
      <c r="B1" s="50" t="s">
        <v>0</v>
      </c>
      <c r="C1" s="50"/>
      <c r="D1" s="50"/>
      <c r="E1" s="50"/>
      <c r="F1" s="50"/>
      <c r="G1" s="50"/>
      <c r="H1" s="50"/>
      <c r="I1" s="50"/>
      <c r="J1" s="50"/>
      <c r="K1" s="50"/>
      <c r="L1" s="50"/>
      <c r="M1" s="50"/>
      <c r="N1" s="50"/>
      <c r="O1" s="50"/>
      <c r="P1" s="50"/>
      <c r="Q1" s="3" t="s">
        <v>1</v>
      </c>
    </row>
    <row r="2" spans="2:30" ht="13.5" customHeight="1" x14ac:dyDescent="0.2"/>
    <row r="3" spans="2:30" ht="13.5" customHeight="1" x14ac:dyDescent="0.2"/>
    <row r="4" spans="2:30" ht="13.5" customHeight="1" x14ac:dyDescent="0.2"/>
    <row r="5" spans="2:30" ht="13.5" customHeight="1" x14ac:dyDescent="0.2"/>
    <row r="6" spans="2:30" ht="88.5" customHeight="1" x14ac:dyDescent="0.2"/>
    <row r="7" spans="2:30" ht="13.5" customHeight="1" x14ac:dyDescent="0.2"/>
    <row r="8" spans="2:30" ht="13.5" customHeight="1" x14ac:dyDescent="0.2">
      <c r="B8" s="46"/>
      <c r="C8" s="46"/>
      <c r="D8" s="46"/>
      <c r="E8" s="46"/>
      <c r="F8" s="46"/>
      <c r="G8" s="46"/>
      <c r="H8" s="46"/>
    </row>
    <row r="9" spans="2:30" ht="13.5" customHeight="1" x14ac:dyDescent="0.2">
      <c r="B9" s="46"/>
      <c r="C9" s="46"/>
      <c r="D9" s="46"/>
      <c r="E9" s="46"/>
      <c r="F9" s="46"/>
      <c r="G9" s="46"/>
      <c r="H9" s="46"/>
    </row>
    <row r="10" spans="2:30" ht="13.5" customHeight="1" x14ac:dyDescent="0.2">
      <c r="B10" s="46"/>
      <c r="C10" s="46"/>
      <c r="D10" s="46"/>
      <c r="E10" s="46"/>
      <c r="F10" s="46"/>
      <c r="G10" s="46"/>
      <c r="H10" s="46"/>
    </row>
    <row r="11" spans="2:30" ht="13.5" customHeight="1" x14ac:dyDescent="0.2">
      <c r="B11" s="51" t="s">
        <v>2</v>
      </c>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row>
    <row r="12" spans="2:30" ht="13.5" customHeight="1" x14ac:dyDescent="0.2">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row>
    <row r="13" spans="2:30" ht="13.5" customHeight="1" x14ac:dyDescent="0.2">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row>
    <row r="14" spans="2:30" ht="13.5" customHeight="1" x14ac:dyDescent="0.2">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2:30" ht="13.5" customHeight="1" x14ac:dyDescent="0.2">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row>
    <row r="16" spans="2:30" ht="13.5" customHeight="1" x14ac:dyDescent="0.2">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row>
    <row r="17" spans="2:30" ht="13.5" customHeight="1" x14ac:dyDescent="0.2">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row>
    <row r="18" spans="2:30" ht="13.5" customHeight="1" x14ac:dyDescent="0.2">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row>
    <row r="19" spans="2:30" ht="13.5" customHeight="1" x14ac:dyDescent="0.2">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row>
    <row r="20" spans="2:30" ht="13.5" customHeight="1" x14ac:dyDescent="0.2">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2:30" ht="13.5" customHeight="1" x14ac:dyDescent="0.2">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row>
    <row r="22" spans="2:30" ht="13.5" customHeight="1" x14ac:dyDescent="0.2">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row>
    <row r="23" spans="2:30" ht="13.5" customHeight="1" x14ac:dyDescent="0.2">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row>
    <row r="24" spans="2:30" ht="13.5" customHeight="1" x14ac:dyDescent="0.2">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row>
    <row r="25" spans="2:30" ht="13.5" customHeight="1" x14ac:dyDescent="0.2">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row>
    <row r="26" spans="2:30" ht="13.5" customHeight="1" x14ac:dyDescent="0.2">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2:30" ht="13.5" customHeight="1" x14ac:dyDescent="0.2">
      <c r="B27" s="51"/>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row>
    <row r="28" spans="2:30" ht="13.5" customHeight="1" x14ac:dyDescent="0.2">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row>
    <row r="29" spans="2:30" ht="13.5" customHeight="1" x14ac:dyDescent="0.2">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row>
    <row r="30" spans="2:30" ht="13.5" customHeight="1" x14ac:dyDescent="0.2">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row>
    <row r="31" spans="2:30" ht="13.5" customHeight="1" x14ac:dyDescent="0.2">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row>
    <row r="32" spans="2:30" ht="13.5" customHeight="1" x14ac:dyDescent="0.2">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2:30" ht="13.5" customHeight="1" x14ac:dyDescent="0.2">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row>
    <row r="34" spans="2:30" ht="13.5" customHeight="1" x14ac:dyDescent="0.2">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2" t="s">
        <v>3</v>
      </c>
      <c r="E49" s="52"/>
      <c r="F49" s="52"/>
      <c r="G49" s="52"/>
      <c r="H49" s="52"/>
      <c r="I49" s="52"/>
      <c r="J49" s="52"/>
      <c r="K49" s="52"/>
      <c r="L49" s="52"/>
      <c r="M49" s="52"/>
      <c r="N49" s="52"/>
      <c r="O49" s="52"/>
      <c r="P49" s="52"/>
      <c r="Q49" s="52"/>
      <c r="R49" s="52"/>
      <c r="S49" s="52"/>
      <c r="T49" s="52"/>
      <c r="U49" s="52"/>
      <c r="V49" s="52"/>
      <c r="W49" s="52"/>
      <c r="X49" s="52"/>
      <c r="Y49" s="52"/>
      <c r="Z49" s="52"/>
      <c r="AA49" s="52"/>
      <c r="AB49" s="52"/>
    </row>
    <row r="50" spans="4:28" ht="13.5" customHeight="1" x14ac:dyDescent="0.2">
      <c r="D50" s="53" t="s">
        <v>4</v>
      </c>
      <c r="E50" s="53"/>
      <c r="F50" s="53"/>
      <c r="G50" s="53"/>
      <c r="H50" s="53"/>
      <c r="I50" s="53"/>
      <c r="J50" s="53"/>
      <c r="K50" s="53"/>
      <c r="L50" s="53"/>
      <c r="M50" s="53"/>
      <c r="N50" s="53"/>
      <c r="O50" s="53"/>
      <c r="P50" s="53"/>
      <c r="Q50" s="53"/>
      <c r="R50" s="53"/>
      <c r="S50" s="53"/>
      <c r="T50" s="53"/>
      <c r="U50" s="53"/>
      <c r="V50" s="53"/>
      <c r="W50" s="53"/>
      <c r="X50" s="53"/>
      <c r="Y50" s="53"/>
      <c r="Z50" s="53"/>
      <c r="AA50" s="53"/>
      <c r="AB50" s="53"/>
    </row>
    <row r="51" spans="4:28" ht="13.5" customHeight="1" x14ac:dyDescent="0.2">
      <c r="D51" s="53"/>
      <c r="E51" s="53"/>
      <c r="F51" s="53"/>
      <c r="G51" s="53"/>
      <c r="H51" s="53"/>
      <c r="I51" s="53"/>
      <c r="J51" s="53"/>
      <c r="K51" s="53"/>
      <c r="L51" s="53"/>
      <c r="M51" s="53"/>
      <c r="N51" s="53"/>
      <c r="O51" s="53"/>
      <c r="P51" s="53"/>
      <c r="Q51" s="53"/>
      <c r="R51" s="53"/>
      <c r="S51" s="53"/>
      <c r="T51" s="53"/>
      <c r="U51" s="53"/>
      <c r="V51" s="53"/>
      <c r="W51" s="53"/>
      <c r="X51" s="53"/>
      <c r="Y51" s="53"/>
      <c r="Z51" s="53"/>
      <c r="AA51" s="53"/>
      <c r="AB51" s="53"/>
    </row>
    <row r="52" spans="4:28" ht="13.5" customHeight="1" x14ac:dyDescent="0.2">
      <c r="D52" s="53"/>
      <c r="E52" s="53"/>
      <c r="F52" s="53"/>
      <c r="G52" s="53"/>
      <c r="H52" s="53"/>
      <c r="I52" s="53"/>
      <c r="J52" s="53"/>
      <c r="K52" s="53"/>
      <c r="L52" s="53"/>
      <c r="M52" s="53"/>
      <c r="N52" s="53"/>
      <c r="O52" s="53"/>
      <c r="P52" s="53"/>
      <c r="Q52" s="53"/>
      <c r="R52" s="53"/>
      <c r="S52" s="53"/>
      <c r="T52" s="53"/>
      <c r="U52" s="53"/>
      <c r="V52" s="53"/>
      <c r="W52" s="53"/>
      <c r="X52" s="53"/>
      <c r="Y52" s="53"/>
      <c r="Z52" s="53"/>
      <c r="AA52" s="53"/>
      <c r="AB52" s="53"/>
    </row>
    <row r="53" spans="4:28" ht="13.5" customHeight="1" x14ac:dyDescent="0.2">
      <c r="D53" s="53"/>
      <c r="E53" s="53"/>
      <c r="F53" s="53"/>
      <c r="G53" s="53"/>
      <c r="H53" s="53"/>
      <c r="I53" s="53"/>
      <c r="J53" s="53"/>
      <c r="K53" s="53"/>
      <c r="L53" s="53"/>
      <c r="M53" s="53"/>
      <c r="N53" s="53"/>
      <c r="O53" s="53"/>
      <c r="P53" s="53"/>
      <c r="Q53" s="53"/>
      <c r="R53" s="53"/>
      <c r="S53" s="53"/>
      <c r="T53" s="53"/>
      <c r="U53" s="53"/>
      <c r="V53" s="53"/>
      <c r="W53" s="53"/>
      <c r="X53" s="53"/>
      <c r="Y53" s="53"/>
      <c r="Z53" s="53"/>
      <c r="AA53" s="53"/>
      <c r="AB53" s="53"/>
    </row>
    <row r="54" spans="4:28" ht="13.5" customHeight="1" x14ac:dyDescent="0.2">
      <c r="D54" s="53"/>
      <c r="E54" s="53"/>
      <c r="F54" s="53"/>
      <c r="G54" s="53"/>
      <c r="H54" s="53"/>
      <c r="I54" s="53"/>
      <c r="J54" s="53"/>
      <c r="K54" s="53"/>
      <c r="L54" s="53"/>
      <c r="M54" s="53"/>
      <c r="N54" s="53"/>
      <c r="O54" s="53"/>
      <c r="P54" s="53"/>
      <c r="Q54" s="53"/>
      <c r="R54" s="53"/>
      <c r="S54" s="53"/>
      <c r="T54" s="53"/>
      <c r="U54" s="53"/>
      <c r="V54" s="53"/>
      <c r="W54" s="53"/>
      <c r="X54" s="53"/>
      <c r="Y54" s="53"/>
      <c r="Z54" s="53"/>
      <c r="AA54" s="53"/>
      <c r="AB54" s="53"/>
    </row>
    <row r="55" spans="4:28" ht="13.5" customHeight="1" x14ac:dyDescent="0.2">
      <c r="D55" s="53"/>
      <c r="E55" s="53"/>
      <c r="F55" s="53"/>
      <c r="G55" s="53"/>
      <c r="H55" s="53"/>
      <c r="I55" s="53"/>
      <c r="J55" s="53"/>
      <c r="K55" s="53"/>
      <c r="L55" s="53"/>
      <c r="M55" s="53"/>
      <c r="N55" s="53"/>
      <c r="O55" s="53"/>
      <c r="P55" s="53"/>
      <c r="Q55" s="53"/>
      <c r="R55" s="53"/>
      <c r="S55" s="53"/>
      <c r="T55" s="53"/>
      <c r="U55" s="53"/>
      <c r="V55" s="53"/>
      <c r="W55" s="53"/>
      <c r="X55" s="53"/>
      <c r="Y55" s="53"/>
      <c r="Z55" s="53"/>
      <c r="AA55" s="53"/>
      <c r="AB55" s="53"/>
    </row>
    <row r="56" spans="4:28" ht="13.5" customHeight="1" x14ac:dyDescent="0.2">
      <c r="D56" s="53"/>
      <c r="E56" s="53"/>
      <c r="F56" s="53"/>
      <c r="G56" s="53"/>
      <c r="H56" s="53"/>
      <c r="I56" s="53"/>
      <c r="J56" s="53"/>
      <c r="K56" s="53"/>
      <c r="L56" s="53"/>
      <c r="M56" s="53"/>
      <c r="N56" s="53"/>
      <c r="O56" s="53"/>
      <c r="P56" s="53"/>
      <c r="Q56" s="53"/>
      <c r="R56" s="53"/>
      <c r="S56" s="53"/>
      <c r="T56" s="53"/>
      <c r="U56" s="53"/>
      <c r="V56" s="53"/>
      <c r="W56" s="53"/>
      <c r="X56" s="53"/>
      <c r="Y56" s="53"/>
      <c r="Z56" s="53"/>
      <c r="AA56" s="53"/>
      <c r="AB56" s="53"/>
    </row>
    <row r="57" spans="4:28" ht="13.5" customHeight="1" x14ac:dyDescent="0.2">
      <c r="D57" s="53"/>
      <c r="E57" s="53"/>
      <c r="F57" s="53"/>
      <c r="G57" s="53"/>
      <c r="H57" s="53"/>
      <c r="I57" s="53"/>
      <c r="J57" s="53"/>
      <c r="K57" s="53"/>
      <c r="L57" s="53"/>
      <c r="M57" s="53"/>
      <c r="N57" s="53"/>
      <c r="O57" s="53"/>
      <c r="P57" s="53"/>
      <c r="Q57" s="53"/>
      <c r="R57" s="53"/>
      <c r="S57" s="53"/>
      <c r="T57" s="53"/>
      <c r="U57" s="53"/>
      <c r="V57" s="53"/>
      <c r="W57" s="53"/>
      <c r="X57" s="53"/>
      <c r="Y57" s="53"/>
      <c r="Z57" s="53"/>
      <c r="AA57" s="53"/>
      <c r="AB57" s="53"/>
    </row>
    <row r="58" spans="4:28" ht="13.5" customHeight="1" x14ac:dyDescent="0.2">
      <c r="D58" s="53"/>
      <c r="E58" s="53"/>
      <c r="F58" s="53"/>
      <c r="G58" s="53"/>
      <c r="H58" s="53"/>
      <c r="I58" s="53"/>
      <c r="J58" s="53"/>
      <c r="K58" s="53"/>
      <c r="L58" s="53"/>
      <c r="M58" s="53"/>
      <c r="N58" s="53"/>
      <c r="O58" s="53"/>
      <c r="P58" s="53"/>
      <c r="Q58" s="53"/>
      <c r="R58" s="53"/>
      <c r="S58" s="53"/>
      <c r="T58" s="53"/>
      <c r="U58" s="53"/>
      <c r="V58" s="53"/>
      <c r="W58" s="53"/>
      <c r="X58" s="53"/>
      <c r="Y58" s="53"/>
      <c r="Z58" s="53"/>
      <c r="AA58" s="53"/>
      <c r="AB58" s="53"/>
    </row>
    <row r="59" spans="4:28" ht="13.5" customHeight="1" x14ac:dyDescent="0.2">
      <c r="D59" s="53"/>
      <c r="E59" s="53"/>
      <c r="F59" s="53"/>
      <c r="G59" s="53"/>
      <c r="H59" s="53"/>
      <c r="I59" s="53"/>
      <c r="J59" s="53"/>
      <c r="K59" s="53"/>
      <c r="L59" s="53"/>
      <c r="M59" s="53"/>
      <c r="N59" s="53"/>
      <c r="O59" s="53"/>
      <c r="P59" s="53"/>
      <c r="Q59" s="53"/>
      <c r="R59" s="53"/>
      <c r="S59" s="53"/>
      <c r="T59" s="53"/>
      <c r="U59" s="53"/>
      <c r="V59" s="53"/>
      <c r="W59" s="53"/>
      <c r="X59" s="53"/>
      <c r="Y59" s="53"/>
      <c r="Z59" s="53"/>
      <c r="AA59" s="53"/>
      <c r="AB59" s="53"/>
    </row>
    <row r="60" spans="4:28" ht="13.5" customHeight="1" x14ac:dyDescent="0.2">
      <c r="D60" s="53"/>
      <c r="E60" s="53"/>
      <c r="F60" s="53"/>
      <c r="G60" s="53"/>
      <c r="H60" s="53"/>
      <c r="I60" s="53"/>
      <c r="J60" s="53"/>
      <c r="K60" s="53"/>
      <c r="L60" s="53"/>
      <c r="M60" s="53"/>
      <c r="N60" s="53"/>
      <c r="O60" s="53"/>
      <c r="P60" s="53"/>
      <c r="Q60" s="53"/>
      <c r="R60" s="53"/>
      <c r="S60" s="53"/>
      <c r="T60" s="53"/>
      <c r="U60" s="53"/>
      <c r="V60" s="53"/>
      <c r="W60" s="53"/>
      <c r="X60" s="53"/>
      <c r="Y60" s="53"/>
      <c r="Z60" s="53"/>
      <c r="AA60" s="53"/>
      <c r="AB60" s="53"/>
    </row>
    <row r="61" spans="4:28" ht="13.5" customHeight="1" x14ac:dyDescent="0.2">
      <c r="D61" s="53"/>
      <c r="E61" s="53"/>
      <c r="F61" s="53"/>
      <c r="G61" s="53"/>
      <c r="H61" s="53"/>
      <c r="I61" s="53"/>
      <c r="J61" s="53"/>
      <c r="K61" s="53"/>
      <c r="L61" s="53"/>
      <c r="M61" s="53"/>
      <c r="N61" s="53"/>
      <c r="O61" s="53"/>
      <c r="P61" s="53"/>
      <c r="Q61" s="53"/>
      <c r="R61" s="53"/>
      <c r="S61" s="53"/>
      <c r="T61" s="53"/>
      <c r="U61" s="53"/>
      <c r="V61" s="53"/>
      <c r="W61" s="53"/>
      <c r="X61" s="53"/>
      <c r="Y61" s="53"/>
      <c r="Z61" s="53"/>
      <c r="AA61" s="53"/>
      <c r="AB61" s="53"/>
    </row>
    <row r="62" spans="4:28" ht="13.5" customHeight="1" x14ac:dyDescent="0.2">
      <c r="D62" s="53"/>
      <c r="E62" s="53"/>
      <c r="F62" s="53"/>
      <c r="G62" s="53"/>
      <c r="H62" s="53"/>
      <c r="I62" s="53"/>
      <c r="J62" s="53"/>
      <c r="K62" s="53"/>
      <c r="L62" s="53"/>
      <c r="M62" s="53"/>
      <c r="N62" s="53"/>
      <c r="O62" s="53"/>
      <c r="P62" s="53"/>
      <c r="Q62" s="53"/>
      <c r="R62" s="53"/>
      <c r="S62" s="53"/>
      <c r="T62" s="53"/>
      <c r="U62" s="53"/>
      <c r="V62" s="53"/>
      <c r="W62" s="53"/>
      <c r="X62" s="53"/>
      <c r="Y62" s="53"/>
      <c r="Z62" s="53"/>
      <c r="AA62" s="53"/>
      <c r="AB62" s="53"/>
    </row>
    <row r="63" spans="4:28" ht="13.5" customHeight="1" x14ac:dyDescent="0.2">
      <c r="D63" s="53"/>
      <c r="E63" s="53"/>
      <c r="F63" s="53"/>
      <c r="G63" s="53"/>
      <c r="H63" s="53"/>
      <c r="I63" s="53"/>
      <c r="J63" s="53"/>
      <c r="K63" s="53"/>
      <c r="L63" s="53"/>
      <c r="M63" s="53"/>
      <c r="N63" s="53"/>
      <c r="O63" s="53"/>
      <c r="P63" s="53"/>
      <c r="Q63" s="53"/>
      <c r="R63" s="53"/>
      <c r="S63" s="53"/>
      <c r="T63" s="53"/>
      <c r="U63" s="53"/>
      <c r="V63" s="53"/>
      <c r="W63" s="53"/>
      <c r="X63" s="53"/>
      <c r="Y63" s="53"/>
      <c r="Z63" s="53"/>
      <c r="AA63" s="53"/>
      <c r="AB63" s="53"/>
    </row>
    <row r="64" spans="4:28" ht="13.5" customHeight="1" x14ac:dyDescent="0.2">
      <c r="D64" s="53"/>
      <c r="E64" s="53"/>
      <c r="F64" s="53"/>
      <c r="G64" s="53"/>
      <c r="H64" s="53"/>
      <c r="I64" s="53"/>
      <c r="J64" s="53"/>
      <c r="K64" s="53"/>
      <c r="L64" s="53"/>
      <c r="M64" s="53"/>
      <c r="N64" s="53"/>
      <c r="O64" s="53"/>
      <c r="P64" s="53"/>
      <c r="Q64" s="53"/>
      <c r="R64" s="53"/>
      <c r="S64" s="53"/>
      <c r="T64" s="53"/>
      <c r="U64" s="53"/>
      <c r="V64" s="53"/>
      <c r="W64" s="53"/>
      <c r="X64" s="53"/>
      <c r="Y64" s="53"/>
      <c r="Z64" s="53"/>
      <c r="AA64" s="53"/>
      <c r="AB64" s="53"/>
    </row>
    <row r="65" spans="4:28" ht="13.5" customHeight="1" x14ac:dyDescent="0.2">
      <c r="D65" s="53"/>
      <c r="E65" s="53"/>
      <c r="F65" s="53"/>
      <c r="G65" s="53"/>
      <c r="H65" s="53"/>
      <c r="I65" s="53"/>
      <c r="J65" s="53"/>
      <c r="K65" s="53"/>
      <c r="L65" s="53"/>
      <c r="M65" s="53"/>
      <c r="N65" s="53"/>
      <c r="O65" s="53"/>
      <c r="P65" s="53"/>
      <c r="Q65" s="53"/>
      <c r="R65" s="53"/>
      <c r="S65" s="53"/>
      <c r="T65" s="53"/>
      <c r="U65" s="53"/>
      <c r="V65" s="53"/>
      <c r="W65" s="53"/>
      <c r="X65" s="53"/>
      <c r="Y65" s="53"/>
      <c r="Z65" s="53"/>
      <c r="AA65" s="53"/>
      <c r="AB65" s="53"/>
    </row>
    <row r="66" spans="4:28" ht="13.5" customHeight="1" x14ac:dyDescent="0.2">
      <c r="D66" s="53"/>
      <c r="E66" s="53"/>
      <c r="F66" s="53"/>
      <c r="G66" s="53"/>
      <c r="H66" s="53"/>
      <c r="I66" s="53"/>
      <c r="J66" s="53"/>
      <c r="K66" s="53"/>
      <c r="L66" s="53"/>
      <c r="M66" s="53"/>
      <c r="N66" s="53"/>
      <c r="O66" s="53"/>
      <c r="P66" s="53"/>
      <c r="Q66" s="53"/>
      <c r="R66" s="53"/>
      <c r="S66" s="53"/>
      <c r="T66" s="53"/>
      <c r="U66" s="53"/>
      <c r="V66" s="53"/>
      <c r="W66" s="53"/>
      <c r="X66" s="53"/>
      <c r="Y66" s="53"/>
      <c r="Z66" s="53"/>
      <c r="AA66" s="53"/>
      <c r="AB66" s="53"/>
    </row>
    <row r="67" spans="4:28" ht="13.5" customHeight="1" x14ac:dyDescent="0.2">
      <c r="D67" s="53"/>
      <c r="E67" s="53"/>
      <c r="F67" s="53"/>
      <c r="G67" s="53"/>
      <c r="H67" s="53"/>
      <c r="I67" s="53"/>
      <c r="J67" s="53"/>
      <c r="K67" s="53"/>
      <c r="L67" s="53"/>
      <c r="M67" s="53"/>
      <c r="N67" s="53"/>
      <c r="O67" s="53"/>
      <c r="P67" s="53"/>
      <c r="Q67" s="53"/>
      <c r="R67" s="53"/>
      <c r="S67" s="53"/>
      <c r="T67" s="53"/>
      <c r="U67" s="53"/>
      <c r="V67" s="53"/>
      <c r="W67" s="53"/>
      <c r="X67" s="53"/>
      <c r="Y67" s="53"/>
      <c r="Z67" s="53"/>
      <c r="AA67" s="53"/>
      <c r="AB67" s="53"/>
    </row>
    <row r="68" spans="4:28" ht="13.5" customHeight="1" x14ac:dyDescent="0.2">
      <c r="D68" s="53"/>
      <c r="E68" s="53"/>
      <c r="F68" s="53"/>
      <c r="G68" s="53"/>
      <c r="H68" s="53"/>
      <c r="I68" s="53"/>
      <c r="J68" s="53"/>
      <c r="K68" s="53"/>
      <c r="L68" s="53"/>
      <c r="M68" s="53"/>
      <c r="N68" s="53"/>
      <c r="O68" s="53"/>
      <c r="P68" s="53"/>
      <c r="Q68" s="53"/>
      <c r="R68" s="53"/>
      <c r="S68" s="53"/>
      <c r="T68" s="53"/>
      <c r="U68" s="53"/>
      <c r="V68" s="53"/>
      <c r="W68" s="53"/>
      <c r="X68" s="53"/>
      <c r="Y68" s="53"/>
      <c r="Z68" s="53"/>
      <c r="AA68" s="53"/>
      <c r="AB68" s="53"/>
    </row>
    <row r="69" spans="4:28" ht="13.5" customHeight="1" x14ac:dyDescent="0.2">
      <c r="D69" s="53"/>
      <c r="E69" s="53"/>
      <c r="F69" s="53"/>
      <c r="G69" s="53"/>
      <c r="H69" s="53"/>
      <c r="I69" s="53"/>
      <c r="J69" s="53"/>
      <c r="K69" s="53"/>
      <c r="L69" s="53"/>
      <c r="M69" s="53"/>
      <c r="N69" s="53"/>
      <c r="O69" s="53"/>
      <c r="P69" s="53"/>
      <c r="Q69" s="53"/>
      <c r="R69" s="53"/>
      <c r="S69" s="53"/>
      <c r="T69" s="53"/>
      <c r="U69" s="53"/>
      <c r="V69" s="53"/>
      <c r="W69" s="53"/>
      <c r="X69" s="53"/>
      <c r="Y69" s="53"/>
      <c r="Z69" s="53"/>
      <c r="AA69" s="53"/>
      <c r="AB69" s="53"/>
    </row>
    <row r="70" spans="4:28" ht="13.5" customHeight="1" x14ac:dyDescent="0.2">
      <c r="D70" s="53"/>
      <c r="E70" s="53"/>
      <c r="F70" s="53"/>
      <c r="G70" s="53"/>
      <c r="H70" s="53"/>
      <c r="I70" s="53"/>
      <c r="J70" s="53"/>
      <c r="K70" s="53"/>
      <c r="L70" s="53"/>
      <c r="M70" s="53"/>
      <c r="N70" s="53"/>
      <c r="O70" s="53"/>
      <c r="P70" s="53"/>
      <c r="Q70" s="53"/>
      <c r="R70" s="53"/>
      <c r="S70" s="53"/>
      <c r="T70" s="53"/>
      <c r="U70" s="53"/>
      <c r="V70" s="53"/>
      <c r="W70" s="53"/>
      <c r="X70" s="53"/>
      <c r="Y70" s="53"/>
      <c r="Z70" s="53"/>
      <c r="AA70" s="53"/>
      <c r="AB70" s="53"/>
    </row>
    <row r="71" spans="4:28" ht="13.5" customHeight="1" x14ac:dyDescent="0.2">
      <c r="D71" s="53"/>
      <c r="E71" s="53"/>
      <c r="F71" s="53"/>
      <c r="G71" s="53"/>
      <c r="H71" s="53"/>
      <c r="I71" s="53"/>
      <c r="J71" s="53"/>
      <c r="K71" s="53"/>
      <c r="L71" s="53"/>
      <c r="M71" s="53"/>
      <c r="N71" s="53"/>
      <c r="O71" s="53"/>
      <c r="P71" s="53"/>
      <c r="Q71" s="53"/>
      <c r="R71" s="53"/>
      <c r="S71" s="53"/>
      <c r="T71" s="53"/>
      <c r="U71" s="53"/>
      <c r="V71" s="53"/>
      <c r="W71" s="53"/>
      <c r="X71" s="53"/>
      <c r="Y71" s="53"/>
      <c r="Z71" s="53"/>
      <c r="AA71" s="53"/>
      <c r="AB71" s="53"/>
    </row>
    <row r="72" spans="4:28" ht="13.5" customHeight="1" x14ac:dyDescent="0.2">
      <c r="D72" s="53"/>
      <c r="E72" s="53"/>
      <c r="F72" s="53"/>
      <c r="G72" s="53"/>
      <c r="H72" s="53"/>
      <c r="I72" s="53"/>
      <c r="J72" s="53"/>
      <c r="K72" s="53"/>
      <c r="L72" s="53"/>
      <c r="M72" s="53"/>
      <c r="N72" s="53"/>
      <c r="O72" s="53"/>
      <c r="P72" s="53"/>
      <c r="Q72" s="53"/>
      <c r="R72" s="53"/>
      <c r="S72" s="53"/>
      <c r="T72" s="53"/>
      <c r="U72" s="53"/>
      <c r="V72" s="53"/>
      <c r="W72" s="53"/>
      <c r="X72" s="53"/>
      <c r="Y72" s="53"/>
      <c r="Z72" s="53"/>
      <c r="AA72" s="53"/>
      <c r="AB72" s="53"/>
    </row>
    <row r="73" spans="4:28" ht="13.5" customHeight="1" x14ac:dyDescent="0.2">
      <c r="D73" s="53"/>
      <c r="E73" s="53"/>
      <c r="F73" s="53"/>
      <c r="G73" s="53"/>
      <c r="H73" s="53"/>
      <c r="I73" s="53"/>
      <c r="J73" s="53"/>
      <c r="K73" s="53"/>
      <c r="L73" s="53"/>
      <c r="M73" s="53"/>
      <c r="N73" s="53"/>
      <c r="O73" s="53"/>
      <c r="P73" s="53"/>
      <c r="Q73" s="53"/>
      <c r="R73" s="53"/>
      <c r="S73" s="53"/>
      <c r="T73" s="53"/>
      <c r="U73" s="53"/>
      <c r="V73" s="53"/>
      <c r="W73" s="53"/>
      <c r="X73" s="53"/>
      <c r="Y73" s="53"/>
      <c r="Z73" s="53"/>
      <c r="AA73" s="53"/>
      <c r="AB73" s="53"/>
    </row>
    <row r="74" spans="4:28" ht="13.5" customHeight="1" x14ac:dyDescent="0.2">
      <c r="D74" s="53"/>
      <c r="E74" s="53"/>
      <c r="F74" s="53"/>
      <c r="G74" s="53"/>
      <c r="H74" s="53"/>
      <c r="I74" s="53"/>
      <c r="J74" s="53"/>
      <c r="K74" s="53"/>
      <c r="L74" s="53"/>
      <c r="M74" s="53"/>
      <c r="N74" s="53"/>
      <c r="O74" s="53"/>
      <c r="P74" s="53"/>
      <c r="Q74" s="53"/>
      <c r="R74" s="53"/>
      <c r="S74" s="53"/>
      <c r="T74" s="53"/>
      <c r="U74" s="53"/>
      <c r="V74" s="53"/>
      <c r="W74" s="53"/>
      <c r="X74" s="53"/>
      <c r="Y74" s="53"/>
      <c r="Z74" s="53"/>
      <c r="AA74" s="53"/>
      <c r="AB74" s="53"/>
    </row>
    <row r="75" spans="4:28" ht="13.5" customHeight="1" x14ac:dyDescent="0.2">
      <c r="D75" s="53"/>
      <c r="E75" s="53"/>
      <c r="F75" s="53"/>
      <c r="G75" s="53"/>
      <c r="H75" s="53"/>
      <c r="I75" s="53"/>
      <c r="J75" s="53"/>
      <c r="K75" s="53"/>
      <c r="L75" s="53"/>
      <c r="M75" s="53"/>
      <c r="N75" s="53"/>
      <c r="O75" s="53"/>
      <c r="P75" s="53"/>
      <c r="Q75" s="53"/>
      <c r="R75" s="53"/>
      <c r="S75" s="53"/>
      <c r="T75" s="53"/>
      <c r="U75" s="53"/>
      <c r="V75" s="53"/>
      <c r="W75" s="53"/>
      <c r="X75" s="53"/>
      <c r="Y75" s="53"/>
      <c r="Z75" s="53"/>
      <c r="AA75" s="53"/>
      <c r="AB75" s="53"/>
    </row>
    <row r="76" spans="4:28" ht="13.5" customHeight="1" x14ac:dyDescent="0.2">
      <c r="D76" s="53"/>
      <c r="E76" s="53"/>
      <c r="F76" s="53"/>
      <c r="G76" s="53"/>
      <c r="H76" s="53"/>
      <c r="I76" s="53"/>
      <c r="J76" s="53"/>
      <c r="K76" s="53"/>
      <c r="L76" s="53"/>
      <c r="M76" s="53"/>
      <c r="N76" s="53"/>
      <c r="O76" s="53"/>
      <c r="P76" s="53"/>
      <c r="Q76" s="53"/>
      <c r="R76" s="53"/>
      <c r="S76" s="53"/>
      <c r="T76" s="53"/>
      <c r="U76" s="53"/>
      <c r="V76" s="53"/>
      <c r="W76" s="53"/>
      <c r="X76" s="53"/>
      <c r="Y76" s="53"/>
      <c r="Z76" s="53"/>
      <c r="AA76" s="53"/>
      <c r="AB76" s="53"/>
    </row>
    <row r="77" spans="4:28" ht="13.5" customHeight="1" x14ac:dyDescent="0.2">
      <c r="D77" s="53"/>
      <c r="E77" s="53"/>
      <c r="F77" s="53"/>
      <c r="G77" s="53"/>
      <c r="H77" s="53"/>
      <c r="I77" s="53"/>
      <c r="J77" s="53"/>
      <c r="K77" s="53"/>
      <c r="L77" s="53"/>
      <c r="M77" s="53"/>
      <c r="N77" s="53"/>
      <c r="O77" s="53"/>
      <c r="P77" s="53"/>
      <c r="Q77" s="53"/>
      <c r="R77" s="53"/>
      <c r="S77" s="53"/>
      <c r="T77" s="53"/>
      <c r="U77" s="53"/>
      <c r="V77" s="53"/>
      <c r="W77" s="53"/>
      <c r="X77" s="53"/>
      <c r="Y77" s="53"/>
      <c r="Z77" s="53"/>
      <c r="AA77" s="53"/>
      <c r="AB77" s="53"/>
    </row>
    <row r="78" spans="4:28" ht="13.5" customHeight="1" x14ac:dyDescent="0.2">
      <c r="D78" s="53"/>
      <c r="E78" s="53"/>
      <c r="F78" s="53"/>
      <c r="G78" s="53"/>
      <c r="H78" s="53"/>
      <c r="I78" s="53"/>
      <c r="J78" s="53"/>
      <c r="K78" s="53"/>
      <c r="L78" s="53"/>
      <c r="M78" s="53"/>
      <c r="N78" s="53"/>
      <c r="O78" s="53"/>
      <c r="P78" s="53"/>
      <c r="Q78" s="53"/>
      <c r="R78" s="53"/>
      <c r="S78" s="53"/>
      <c r="T78" s="53"/>
      <c r="U78" s="53"/>
      <c r="V78" s="53"/>
      <c r="W78" s="53"/>
      <c r="X78" s="53"/>
      <c r="Y78" s="53"/>
      <c r="Z78" s="53"/>
      <c r="AA78" s="53"/>
      <c r="AB78" s="53"/>
    </row>
    <row r="79" spans="4:28" ht="13.5" customHeight="1" x14ac:dyDescent="0.2">
      <c r="D79" s="53"/>
      <c r="E79" s="53"/>
      <c r="F79" s="53"/>
      <c r="G79" s="53"/>
      <c r="H79" s="53"/>
      <c r="I79" s="53"/>
      <c r="J79" s="53"/>
      <c r="K79" s="53"/>
      <c r="L79" s="53"/>
      <c r="M79" s="53"/>
      <c r="N79" s="53"/>
      <c r="O79" s="53"/>
      <c r="P79" s="53"/>
      <c r="Q79" s="53"/>
      <c r="R79" s="53"/>
      <c r="S79" s="53"/>
      <c r="T79" s="53"/>
      <c r="U79" s="53"/>
      <c r="V79" s="53"/>
      <c r="W79" s="53"/>
      <c r="X79" s="53"/>
      <c r="Y79" s="53"/>
      <c r="Z79" s="53"/>
      <c r="AA79" s="53"/>
      <c r="AB79" s="53"/>
    </row>
    <row r="80" spans="4:28" ht="13.5" customHeight="1" x14ac:dyDescent="0.2">
      <c r="D80" s="53"/>
      <c r="E80" s="53"/>
      <c r="F80" s="53"/>
      <c r="G80" s="53"/>
      <c r="H80" s="53"/>
      <c r="I80" s="53"/>
      <c r="J80" s="53"/>
      <c r="K80" s="53"/>
      <c r="L80" s="53"/>
      <c r="M80" s="53"/>
      <c r="N80" s="53"/>
      <c r="O80" s="53"/>
      <c r="P80" s="53"/>
      <c r="Q80" s="53"/>
      <c r="R80" s="53"/>
      <c r="S80" s="53"/>
      <c r="T80" s="53"/>
      <c r="U80" s="53"/>
      <c r="V80" s="53"/>
      <c r="W80" s="53"/>
      <c r="X80" s="53"/>
      <c r="Y80" s="53"/>
      <c r="Z80" s="53"/>
      <c r="AA80" s="53"/>
      <c r="AB80" s="53"/>
    </row>
    <row r="81" spans="4:28" ht="13.5" customHeight="1" x14ac:dyDescent="0.2">
      <c r="D81" s="53"/>
      <c r="E81" s="53"/>
      <c r="F81" s="53"/>
      <c r="G81" s="53"/>
      <c r="H81" s="53"/>
      <c r="I81" s="53"/>
      <c r="J81" s="53"/>
      <c r="K81" s="53"/>
      <c r="L81" s="53"/>
      <c r="M81" s="53"/>
      <c r="N81" s="53"/>
      <c r="O81" s="53"/>
      <c r="P81" s="53"/>
      <c r="Q81" s="53"/>
      <c r="R81" s="53"/>
      <c r="S81" s="53"/>
      <c r="T81" s="53"/>
      <c r="U81" s="53"/>
      <c r="V81" s="53"/>
      <c r="W81" s="53"/>
      <c r="X81" s="53"/>
      <c r="Y81" s="53"/>
      <c r="Z81" s="53"/>
      <c r="AA81" s="53"/>
      <c r="AB81" s="53"/>
    </row>
    <row r="82" spans="4:28" ht="13.5" customHeight="1" x14ac:dyDescent="0.2">
      <c r="D82" s="53"/>
      <c r="E82" s="53"/>
      <c r="F82" s="53"/>
      <c r="G82" s="53"/>
      <c r="H82" s="53"/>
      <c r="I82" s="53"/>
      <c r="J82" s="53"/>
      <c r="K82" s="53"/>
      <c r="L82" s="53"/>
      <c r="M82" s="53"/>
      <c r="N82" s="53"/>
      <c r="O82" s="53"/>
      <c r="P82" s="53"/>
      <c r="Q82" s="53"/>
      <c r="R82" s="53"/>
      <c r="S82" s="53"/>
      <c r="T82" s="53"/>
      <c r="U82" s="53"/>
      <c r="V82" s="53"/>
      <c r="W82" s="53"/>
      <c r="X82" s="53"/>
      <c r="Y82" s="53"/>
      <c r="Z82" s="53"/>
      <c r="AA82" s="53"/>
      <c r="AB82" s="53"/>
    </row>
    <row r="83" spans="4:28" ht="13.5" customHeight="1" x14ac:dyDescent="0.2">
      <c r="D83" s="53"/>
      <c r="E83" s="53"/>
      <c r="F83" s="53"/>
      <c r="G83" s="53"/>
      <c r="H83" s="53"/>
      <c r="I83" s="53"/>
      <c r="J83" s="53"/>
      <c r="K83" s="53"/>
      <c r="L83" s="53"/>
      <c r="M83" s="53"/>
      <c r="N83" s="53"/>
      <c r="O83" s="53"/>
      <c r="P83" s="53"/>
      <c r="Q83" s="53"/>
      <c r="R83" s="53"/>
      <c r="S83" s="53"/>
      <c r="T83" s="53"/>
      <c r="U83" s="53"/>
      <c r="V83" s="53"/>
      <c r="W83" s="53"/>
      <c r="X83" s="53"/>
      <c r="Y83" s="53"/>
      <c r="Z83" s="53"/>
      <c r="AA83" s="53"/>
      <c r="AB83" s="53"/>
    </row>
    <row r="84" spans="4:28" ht="13.5" customHeight="1" x14ac:dyDescent="0.2">
      <c r="D84" s="53"/>
      <c r="E84" s="53"/>
      <c r="F84" s="53"/>
      <c r="G84" s="53"/>
      <c r="H84" s="53"/>
      <c r="I84" s="53"/>
      <c r="J84" s="53"/>
      <c r="K84" s="53"/>
      <c r="L84" s="53"/>
      <c r="M84" s="53"/>
      <c r="N84" s="53"/>
      <c r="O84" s="53"/>
      <c r="P84" s="53"/>
      <c r="Q84" s="53"/>
      <c r="R84" s="53"/>
      <c r="S84" s="53"/>
      <c r="T84" s="53"/>
      <c r="U84" s="53"/>
      <c r="V84" s="53"/>
      <c r="W84" s="53"/>
      <c r="X84" s="53"/>
      <c r="Y84" s="53"/>
      <c r="Z84" s="53"/>
      <c r="AA84" s="53"/>
      <c r="AB84" s="53"/>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506</v>
      </c>
      <c r="D4" s="57" t="s">
        <v>507</v>
      </c>
      <c r="E4" s="57"/>
      <c r="F4" s="57"/>
      <c r="G4" s="57"/>
      <c r="H4" s="57"/>
      <c r="I4" s="10"/>
      <c r="J4" s="11" t="s">
        <v>9</v>
      </c>
      <c r="K4" s="12" t="s">
        <v>10</v>
      </c>
      <c r="L4" s="58" t="s">
        <v>11</v>
      </c>
      <c r="M4" s="58"/>
      <c r="N4" s="58"/>
      <c r="O4" s="58"/>
      <c r="P4" s="11" t="s">
        <v>12</v>
      </c>
      <c r="Q4" s="58" t="s">
        <v>403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228</v>
      </c>
      <c r="D6" s="60"/>
      <c r="E6" s="60"/>
      <c r="F6" s="60"/>
      <c r="G6" s="60"/>
      <c r="H6" s="14"/>
      <c r="I6" s="14"/>
      <c r="J6" s="14" t="s">
        <v>18</v>
      </c>
      <c r="K6" s="60" t="s">
        <v>404</v>
      </c>
      <c r="L6" s="60"/>
      <c r="M6" s="60"/>
      <c r="N6" s="15"/>
      <c r="O6" s="16" t="s">
        <v>20</v>
      </c>
      <c r="P6" s="60" t="s">
        <v>405</v>
      </c>
      <c r="Q6" s="60"/>
      <c r="R6" s="17"/>
      <c r="S6" s="16" t="s">
        <v>22</v>
      </c>
      <c r="T6" s="60" t="s">
        <v>406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99.75" customHeight="1" thickTop="1" thickBot="1" x14ac:dyDescent="0.25">
      <c r="A11" s="21"/>
      <c r="B11" s="22" t="s">
        <v>38</v>
      </c>
      <c r="C11" s="83" t="s">
        <v>508</v>
      </c>
      <c r="D11" s="83"/>
      <c r="E11" s="83"/>
      <c r="F11" s="83"/>
      <c r="G11" s="83"/>
      <c r="H11" s="83"/>
      <c r="I11" s="83" t="s">
        <v>509</v>
      </c>
      <c r="J11" s="83"/>
      <c r="K11" s="83"/>
      <c r="L11" s="83" t="s">
        <v>510</v>
      </c>
      <c r="M11" s="83"/>
      <c r="N11" s="83"/>
      <c r="O11" s="83"/>
      <c r="P11" s="23" t="s">
        <v>42</v>
      </c>
      <c r="Q11" s="23" t="s">
        <v>478</v>
      </c>
      <c r="R11" s="23" t="s">
        <v>123</v>
      </c>
      <c r="S11" s="23">
        <v>20</v>
      </c>
      <c r="T11" s="23">
        <v>0</v>
      </c>
      <c r="U11" s="47">
        <f>0</f>
        <v>0</v>
      </c>
    </row>
    <row r="12" spans="1:21" ht="273" customHeight="1" thickTop="1" thickBot="1" x14ac:dyDescent="0.25">
      <c r="A12" s="21"/>
      <c r="B12" s="22" t="s">
        <v>44</v>
      </c>
      <c r="C12" s="83" t="s">
        <v>511</v>
      </c>
      <c r="D12" s="83"/>
      <c r="E12" s="83"/>
      <c r="F12" s="83"/>
      <c r="G12" s="83"/>
      <c r="H12" s="83"/>
      <c r="I12" s="83" t="s">
        <v>512</v>
      </c>
      <c r="J12" s="83"/>
      <c r="K12" s="83"/>
      <c r="L12" s="83" t="s">
        <v>513</v>
      </c>
      <c r="M12" s="83"/>
      <c r="N12" s="83"/>
      <c r="O12" s="83"/>
      <c r="P12" s="23" t="s">
        <v>42</v>
      </c>
      <c r="Q12" s="23" t="s">
        <v>353</v>
      </c>
      <c r="R12" s="23">
        <v>60</v>
      </c>
      <c r="S12" s="23">
        <v>60</v>
      </c>
      <c r="T12" s="23">
        <v>92</v>
      </c>
      <c r="U12" s="47">
        <f>153.33</f>
        <v>153.33000000000001</v>
      </c>
    </row>
    <row r="13" spans="1:21" ht="135" customHeight="1" thickTop="1" x14ac:dyDescent="0.2">
      <c r="A13" s="21"/>
      <c r="B13" s="22" t="s">
        <v>49</v>
      </c>
      <c r="C13" s="83" t="s">
        <v>514</v>
      </c>
      <c r="D13" s="83"/>
      <c r="E13" s="83"/>
      <c r="F13" s="83"/>
      <c r="G13" s="83"/>
      <c r="H13" s="83"/>
      <c r="I13" s="83" t="s">
        <v>515</v>
      </c>
      <c r="J13" s="83"/>
      <c r="K13" s="83"/>
      <c r="L13" s="83" t="s">
        <v>516</v>
      </c>
      <c r="M13" s="83"/>
      <c r="N13" s="83"/>
      <c r="O13" s="83"/>
      <c r="P13" s="23" t="s">
        <v>42</v>
      </c>
      <c r="Q13" s="23" t="s">
        <v>58</v>
      </c>
      <c r="R13" s="23" t="s">
        <v>123</v>
      </c>
      <c r="S13" s="23">
        <v>60</v>
      </c>
      <c r="T13" s="23">
        <v>20</v>
      </c>
      <c r="U13" s="47">
        <f>33.33</f>
        <v>33.33</v>
      </c>
    </row>
    <row r="14" spans="1:21" ht="201" customHeight="1" thickBot="1" x14ac:dyDescent="0.25">
      <c r="A14" s="21"/>
      <c r="B14" s="24" t="s">
        <v>54</v>
      </c>
      <c r="C14" s="84" t="s">
        <v>517</v>
      </c>
      <c r="D14" s="84"/>
      <c r="E14" s="84"/>
      <c r="F14" s="84"/>
      <c r="G14" s="84"/>
      <c r="H14" s="84"/>
      <c r="I14" s="84" t="s">
        <v>518</v>
      </c>
      <c r="J14" s="84"/>
      <c r="K14" s="84"/>
      <c r="L14" s="84" t="s">
        <v>519</v>
      </c>
      <c r="M14" s="84"/>
      <c r="N14" s="84"/>
      <c r="O14" s="84"/>
      <c r="P14" s="25" t="s">
        <v>42</v>
      </c>
      <c r="Q14" s="25" t="s">
        <v>58</v>
      </c>
      <c r="R14" s="25" t="s">
        <v>123</v>
      </c>
      <c r="S14" s="25">
        <v>66.67</v>
      </c>
      <c r="T14" s="25">
        <v>64.22</v>
      </c>
      <c r="U14" s="26">
        <f>96.33</f>
        <v>96.33</v>
      </c>
    </row>
    <row r="15" spans="1:21" ht="114.75" customHeight="1" thickTop="1" x14ac:dyDescent="0.2">
      <c r="A15" s="21"/>
      <c r="B15" s="22" t="s">
        <v>63</v>
      </c>
      <c r="C15" s="83" t="s">
        <v>520</v>
      </c>
      <c r="D15" s="83"/>
      <c r="E15" s="83"/>
      <c r="F15" s="83"/>
      <c r="G15" s="83"/>
      <c r="H15" s="83"/>
      <c r="I15" s="83" t="s">
        <v>521</v>
      </c>
      <c r="J15" s="83"/>
      <c r="K15" s="83"/>
      <c r="L15" s="83" t="s">
        <v>522</v>
      </c>
      <c r="M15" s="83"/>
      <c r="N15" s="83"/>
      <c r="O15" s="83"/>
      <c r="P15" s="23" t="s">
        <v>42</v>
      </c>
      <c r="Q15" s="23" t="s">
        <v>67</v>
      </c>
      <c r="R15" s="23">
        <v>100</v>
      </c>
      <c r="S15" s="23">
        <v>100</v>
      </c>
      <c r="T15" s="23">
        <v>20</v>
      </c>
      <c r="U15" s="47">
        <f>20</f>
        <v>20</v>
      </c>
    </row>
    <row r="16" spans="1:21" ht="117.75" customHeight="1" x14ac:dyDescent="0.2">
      <c r="A16" s="21"/>
      <c r="B16" s="24" t="s">
        <v>54</v>
      </c>
      <c r="C16" s="84" t="s">
        <v>523</v>
      </c>
      <c r="D16" s="84"/>
      <c r="E16" s="84"/>
      <c r="F16" s="84"/>
      <c r="G16" s="84"/>
      <c r="H16" s="84"/>
      <c r="I16" s="84" t="s">
        <v>524</v>
      </c>
      <c r="J16" s="84"/>
      <c r="K16" s="84"/>
      <c r="L16" s="84" t="s">
        <v>525</v>
      </c>
      <c r="M16" s="84"/>
      <c r="N16" s="84"/>
      <c r="O16" s="84"/>
      <c r="P16" s="25" t="s">
        <v>42</v>
      </c>
      <c r="Q16" s="25" t="s">
        <v>74</v>
      </c>
      <c r="R16" s="25">
        <v>98.33</v>
      </c>
      <c r="S16" s="25">
        <v>98.33</v>
      </c>
      <c r="T16" s="25">
        <v>95.83</v>
      </c>
      <c r="U16" s="26">
        <f>97.45</f>
        <v>97.45</v>
      </c>
    </row>
    <row r="17" spans="1:22" ht="109.5" customHeight="1" x14ac:dyDescent="0.2">
      <c r="A17" s="21"/>
      <c r="B17" s="24" t="s">
        <v>54</v>
      </c>
      <c r="C17" s="84" t="s">
        <v>526</v>
      </c>
      <c r="D17" s="84"/>
      <c r="E17" s="84"/>
      <c r="F17" s="84"/>
      <c r="G17" s="84"/>
      <c r="H17" s="84"/>
      <c r="I17" s="84" t="s">
        <v>527</v>
      </c>
      <c r="J17" s="84"/>
      <c r="K17" s="84"/>
      <c r="L17" s="84" t="s">
        <v>528</v>
      </c>
      <c r="M17" s="84"/>
      <c r="N17" s="84"/>
      <c r="O17" s="84"/>
      <c r="P17" s="25" t="s">
        <v>42</v>
      </c>
      <c r="Q17" s="25" t="s">
        <v>74</v>
      </c>
      <c r="R17" s="25">
        <v>50</v>
      </c>
      <c r="S17" s="25">
        <v>50</v>
      </c>
      <c r="T17" s="25">
        <v>58.33</v>
      </c>
      <c r="U17" s="26">
        <f>116.66</f>
        <v>116.66</v>
      </c>
    </row>
    <row r="18" spans="1:22" ht="98.25" customHeight="1" thickBot="1" x14ac:dyDescent="0.25">
      <c r="A18" s="21"/>
      <c r="B18" s="24" t="s">
        <v>54</v>
      </c>
      <c r="C18" s="84" t="s">
        <v>529</v>
      </c>
      <c r="D18" s="84"/>
      <c r="E18" s="84"/>
      <c r="F18" s="84"/>
      <c r="G18" s="84"/>
      <c r="H18" s="84"/>
      <c r="I18" s="84" t="s">
        <v>530</v>
      </c>
      <c r="J18" s="84"/>
      <c r="K18" s="84"/>
      <c r="L18" s="84" t="s">
        <v>531</v>
      </c>
      <c r="M18" s="84"/>
      <c r="N18" s="84"/>
      <c r="O18" s="84"/>
      <c r="P18" s="25" t="s">
        <v>42</v>
      </c>
      <c r="Q18" s="25" t="s">
        <v>165</v>
      </c>
      <c r="R18" s="25">
        <v>98</v>
      </c>
      <c r="S18" s="25">
        <v>98</v>
      </c>
      <c r="T18" s="25">
        <v>99.71</v>
      </c>
      <c r="U18" s="26">
        <f>101.74</f>
        <v>101.74</v>
      </c>
    </row>
    <row r="19" spans="1:22" ht="14.25" customHeight="1" thickTop="1" thickBot="1" x14ac:dyDescent="0.25">
      <c r="B19" s="4" t="s">
        <v>92</v>
      </c>
      <c r="C19" s="5"/>
      <c r="D19" s="5"/>
      <c r="E19" s="5"/>
      <c r="F19" s="5"/>
      <c r="G19" s="5"/>
      <c r="H19" s="6"/>
      <c r="I19" s="6"/>
      <c r="J19" s="6"/>
      <c r="K19" s="6"/>
      <c r="L19" s="6"/>
      <c r="M19" s="6"/>
      <c r="N19" s="6"/>
      <c r="O19" s="6"/>
      <c r="P19" s="6"/>
      <c r="Q19" s="6"/>
      <c r="R19" s="6"/>
      <c r="S19" s="6"/>
      <c r="T19" s="6"/>
      <c r="U19" s="7"/>
      <c r="V19" s="27"/>
    </row>
    <row r="20" spans="1:22" ht="26.25" customHeight="1" thickTop="1" x14ac:dyDescent="0.2">
      <c r="B20" s="28"/>
      <c r="C20" s="29"/>
      <c r="D20" s="29"/>
      <c r="E20" s="29"/>
      <c r="F20" s="29"/>
      <c r="G20" s="29"/>
      <c r="H20" s="30"/>
      <c r="I20" s="30"/>
      <c r="J20" s="30"/>
      <c r="K20" s="30"/>
      <c r="L20" s="30"/>
      <c r="M20" s="30"/>
      <c r="N20" s="30"/>
      <c r="O20" s="30"/>
      <c r="P20" s="30"/>
      <c r="Q20" s="30"/>
      <c r="R20" s="31"/>
      <c r="S20" s="32" t="s">
        <v>33</v>
      </c>
      <c r="T20" s="32" t="s">
        <v>93</v>
      </c>
      <c r="U20" s="18" t="s">
        <v>94</v>
      </c>
    </row>
    <row r="21" spans="1:22" ht="26.25" customHeight="1" thickBot="1" x14ac:dyDescent="0.25">
      <c r="B21" s="33"/>
      <c r="C21" s="34"/>
      <c r="D21" s="34"/>
      <c r="E21" s="34"/>
      <c r="F21" s="34"/>
      <c r="G21" s="34"/>
      <c r="H21" s="35"/>
      <c r="I21" s="35"/>
      <c r="J21" s="35"/>
      <c r="K21" s="35"/>
      <c r="L21" s="35"/>
      <c r="M21" s="35"/>
      <c r="N21" s="35"/>
      <c r="O21" s="35"/>
      <c r="P21" s="35"/>
      <c r="Q21" s="35"/>
      <c r="R21" s="35"/>
      <c r="S21" s="36" t="s">
        <v>95</v>
      </c>
      <c r="T21" s="37" t="s">
        <v>95</v>
      </c>
      <c r="U21" s="37" t="s">
        <v>96</v>
      </c>
    </row>
    <row r="22" spans="1:22" ht="13.5" customHeight="1" thickBot="1" x14ac:dyDescent="0.25">
      <c r="B22" s="88" t="s">
        <v>97</v>
      </c>
      <c r="C22" s="89"/>
      <c r="D22" s="89"/>
      <c r="E22" s="38"/>
      <c r="F22" s="38"/>
      <c r="G22" s="38"/>
      <c r="H22" s="39"/>
      <c r="I22" s="39"/>
      <c r="J22" s="39"/>
      <c r="K22" s="39"/>
      <c r="L22" s="39"/>
      <c r="M22" s="39"/>
      <c r="N22" s="39"/>
      <c r="O22" s="39"/>
      <c r="P22" s="40"/>
      <c r="Q22" s="40"/>
      <c r="R22" s="40"/>
      <c r="S22" s="48">
        <v>43.7</v>
      </c>
      <c r="T22" s="48">
        <v>42.094412829999996</v>
      </c>
      <c r="U22" s="49">
        <f>+IF(ISERR(T22/S22*100),"N/A",ROUND(T22/S22*100,1))</f>
        <v>96.3</v>
      </c>
    </row>
    <row r="23" spans="1:22" ht="13.5" customHeight="1" thickBot="1" x14ac:dyDescent="0.25">
      <c r="B23" s="90" t="s">
        <v>98</v>
      </c>
      <c r="C23" s="91"/>
      <c r="D23" s="91"/>
      <c r="E23" s="41"/>
      <c r="F23" s="41"/>
      <c r="G23" s="41"/>
      <c r="H23" s="42"/>
      <c r="I23" s="42"/>
      <c r="J23" s="42"/>
      <c r="K23" s="42"/>
      <c r="L23" s="42"/>
      <c r="M23" s="42"/>
      <c r="N23" s="42"/>
      <c r="O23" s="42"/>
      <c r="P23" s="43"/>
      <c r="Q23" s="43"/>
      <c r="R23" s="43"/>
      <c r="S23" s="48">
        <v>42.094412829999996</v>
      </c>
      <c r="T23" s="48">
        <v>42.094412829999996</v>
      </c>
      <c r="U23" s="49">
        <f>+IF(ISERR(T23/S23*100),"N/A",ROUND(T23/S23*100,1))</f>
        <v>100</v>
      </c>
    </row>
    <row r="24" spans="1:22" ht="14.85" customHeight="1" thickTop="1" thickBot="1" x14ac:dyDescent="0.25">
      <c r="B24" s="4" t="s">
        <v>99</v>
      </c>
      <c r="C24" s="5"/>
      <c r="D24" s="5"/>
      <c r="E24" s="5"/>
      <c r="F24" s="5"/>
      <c r="G24" s="5"/>
      <c r="H24" s="6"/>
      <c r="I24" s="6"/>
      <c r="J24" s="6"/>
      <c r="K24" s="6"/>
      <c r="L24" s="6"/>
      <c r="M24" s="6"/>
      <c r="N24" s="6"/>
      <c r="O24" s="6"/>
      <c r="P24" s="6"/>
      <c r="Q24" s="6"/>
      <c r="R24" s="6"/>
      <c r="S24" s="6"/>
      <c r="T24" s="6"/>
      <c r="U24" s="7"/>
    </row>
    <row r="25" spans="1:22" ht="44.25" customHeight="1" thickTop="1" x14ac:dyDescent="0.2">
      <c r="B25" s="92" t="s">
        <v>100</v>
      </c>
      <c r="C25" s="93"/>
      <c r="D25" s="93"/>
      <c r="E25" s="93"/>
      <c r="F25" s="93"/>
      <c r="G25" s="93"/>
      <c r="H25" s="93"/>
      <c r="I25" s="93"/>
      <c r="J25" s="93"/>
      <c r="K25" s="93"/>
      <c r="L25" s="93"/>
      <c r="M25" s="93"/>
      <c r="N25" s="93"/>
      <c r="O25" s="93"/>
      <c r="P25" s="93"/>
      <c r="Q25" s="93"/>
      <c r="R25" s="93"/>
      <c r="S25" s="93"/>
      <c r="T25" s="93"/>
      <c r="U25" s="94"/>
    </row>
    <row r="26" spans="1:22" ht="69.75" customHeight="1" x14ac:dyDescent="0.2">
      <c r="B26" s="85" t="s">
        <v>532</v>
      </c>
      <c r="C26" s="86"/>
      <c r="D26" s="86"/>
      <c r="E26" s="86"/>
      <c r="F26" s="86"/>
      <c r="G26" s="86"/>
      <c r="H26" s="86"/>
      <c r="I26" s="86"/>
      <c r="J26" s="86"/>
      <c r="K26" s="86"/>
      <c r="L26" s="86"/>
      <c r="M26" s="86"/>
      <c r="N26" s="86"/>
      <c r="O26" s="86"/>
      <c r="P26" s="86"/>
      <c r="Q26" s="86"/>
      <c r="R26" s="86"/>
      <c r="S26" s="86"/>
      <c r="T26" s="86"/>
      <c r="U26" s="87"/>
    </row>
    <row r="27" spans="1:22" ht="94.5" customHeight="1" x14ac:dyDescent="0.2">
      <c r="B27" s="85" t="s">
        <v>533</v>
      </c>
      <c r="C27" s="86"/>
      <c r="D27" s="86"/>
      <c r="E27" s="86"/>
      <c r="F27" s="86"/>
      <c r="G27" s="86"/>
      <c r="H27" s="86"/>
      <c r="I27" s="86"/>
      <c r="J27" s="86"/>
      <c r="K27" s="86"/>
      <c r="L27" s="86"/>
      <c r="M27" s="86"/>
      <c r="N27" s="86"/>
      <c r="O27" s="86"/>
      <c r="P27" s="86"/>
      <c r="Q27" s="86"/>
      <c r="R27" s="86"/>
      <c r="S27" s="86"/>
      <c r="T27" s="86"/>
      <c r="U27" s="87"/>
    </row>
    <row r="28" spans="1:22" ht="83.25" customHeight="1" x14ac:dyDescent="0.2">
      <c r="B28" s="85" t="s">
        <v>534</v>
      </c>
      <c r="C28" s="86"/>
      <c r="D28" s="86"/>
      <c r="E28" s="86"/>
      <c r="F28" s="86"/>
      <c r="G28" s="86"/>
      <c r="H28" s="86"/>
      <c r="I28" s="86"/>
      <c r="J28" s="86"/>
      <c r="K28" s="86"/>
      <c r="L28" s="86"/>
      <c r="M28" s="86"/>
      <c r="N28" s="86"/>
      <c r="O28" s="86"/>
      <c r="P28" s="86"/>
      <c r="Q28" s="86"/>
      <c r="R28" s="86"/>
      <c r="S28" s="86"/>
      <c r="T28" s="86"/>
      <c r="U28" s="87"/>
    </row>
    <row r="29" spans="1:22" ht="91.5" customHeight="1" x14ac:dyDescent="0.2">
      <c r="B29" s="85" t="s">
        <v>535</v>
      </c>
      <c r="C29" s="86"/>
      <c r="D29" s="86"/>
      <c r="E29" s="86"/>
      <c r="F29" s="86"/>
      <c r="G29" s="86"/>
      <c r="H29" s="86"/>
      <c r="I29" s="86"/>
      <c r="J29" s="86"/>
      <c r="K29" s="86"/>
      <c r="L29" s="86"/>
      <c r="M29" s="86"/>
      <c r="N29" s="86"/>
      <c r="O29" s="86"/>
      <c r="P29" s="86"/>
      <c r="Q29" s="86"/>
      <c r="R29" s="86"/>
      <c r="S29" s="86"/>
      <c r="T29" s="86"/>
      <c r="U29" s="87"/>
    </row>
    <row r="30" spans="1:22" ht="63.75" customHeight="1" x14ac:dyDescent="0.2">
      <c r="B30" s="85" t="s">
        <v>536</v>
      </c>
      <c r="C30" s="86"/>
      <c r="D30" s="86"/>
      <c r="E30" s="86"/>
      <c r="F30" s="86"/>
      <c r="G30" s="86"/>
      <c r="H30" s="86"/>
      <c r="I30" s="86"/>
      <c r="J30" s="86"/>
      <c r="K30" s="86"/>
      <c r="L30" s="86"/>
      <c r="M30" s="86"/>
      <c r="N30" s="86"/>
      <c r="O30" s="86"/>
      <c r="P30" s="86"/>
      <c r="Q30" s="86"/>
      <c r="R30" s="86"/>
      <c r="S30" s="86"/>
      <c r="T30" s="86"/>
      <c r="U30" s="87"/>
    </row>
    <row r="31" spans="1:22" ht="80.25" customHeight="1" x14ac:dyDescent="0.2">
      <c r="B31" s="85" t="s">
        <v>537</v>
      </c>
      <c r="C31" s="86"/>
      <c r="D31" s="86"/>
      <c r="E31" s="86"/>
      <c r="F31" s="86"/>
      <c r="G31" s="86"/>
      <c r="H31" s="86"/>
      <c r="I31" s="86"/>
      <c r="J31" s="86"/>
      <c r="K31" s="86"/>
      <c r="L31" s="86"/>
      <c r="M31" s="86"/>
      <c r="N31" s="86"/>
      <c r="O31" s="86"/>
      <c r="P31" s="86"/>
      <c r="Q31" s="86"/>
      <c r="R31" s="86"/>
      <c r="S31" s="86"/>
      <c r="T31" s="86"/>
      <c r="U31" s="87"/>
    </row>
    <row r="32" spans="1:22" ht="59.25" customHeight="1" x14ac:dyDescent="0.2">
      <c r="B32" s="85" t="s">
        <v>538</v>
      </c>
      <c r="C32" s="86"/>
      <c r="D32" s="86"/>
      <c r="E32" s="86"/>
      <c r="F32" s="86"/>
      <c r="G32" s="86"/>
      <c r="H32" s="86"/>
      <c r="I32" s="86"/>
      <c r="J32" s="86"/>
      <c r="K32" s="86"/>
      <c r="L32" s="86"/>
      <c r="M32" s="86"/>
      <c r="N32" s="86"/>
      <c r="O32" s="86"/>
      <c r="P32" s="86"/>
      <c r="Q32" s="86"/>
      <c r="R32" s="86"/>
      <c r="S32" s="86"/>
      <c r="T32" s="86"/>
      <c r="U32" s="87"/>
    </row>
    <row r="33" spans="2:21" ht="45.95" customHeight="1" thickBot="1" x14ac:dyDescent="0.25">
      <c r="B33" s="95" t="s">
        <v>539</v>
      </c>
      <c r="C33" s="96"/>
      <c r="D33" s="96"/>
      <c r="E33" s="96"/>
      <c r="F33" s="96"/>
      <c r="G33" s="96"/>
      <c r="H33" s="96"/>
      <c r="I33" s="96"/>
      <c r="J33" s="96"/>
      <c r="K33" s="96"/>
      <c r="L33" s="96"/>
      <c r="M33" s="96"/>
      <c r="N33" s="96"/>
      <c r="O33" s="96"/>
      <c r="P33" s="96"/>
      <c r="Q33" s="96"/>
      <c r="R33" s="96"/>
      <c r="S33" s="96"/>
      <c r="T33" s="96"/>
      <c r="U33" s="97"/>
    </row>
  </sheetData>
  <mergeCells count="56">
    <mergeCell ref="B32:U32"/>
    <mergeCell ref="B33:U33"/>
    <mergeCell ref="B26:U26"/>
    <mergeCell ref="B27:U27"/>
    <mergeCell ref="B28:U28"/>
    <mergeCell ref="B29:U29"/>
    <mergeCell ref="B30:U30"/>
    <mergeCell ref="B31:U31"/>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540</v>
      </c>
      <c r="D4" s="57" t="s">
        <v>541</v>
      </c>
      <c r="E4" s="57"/>
      <c r="F4" s="57"/>
      <c r="G4" s="57"/>
      <c r="H4" s="57"/>
      <c r="I4" s="10"/>
      <c r="J4" s="11" t="s">
        <v>9</v>
      </c>
      <c r="K4" s="12" t="s">
        <v>10</v>
      </c>
      <c r="L4" s="58" t="s">
        <v>11</v>
      </c>
      <c r="M4" s="58"/>
      <c r="N4" s="58"/>
      <c r="O4" s="58"/>
      <c r="P4" s="11" t="s">
        <v>12</v>
      </c>
      <c r="Q4" s="58" t="s">
        <v>403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228</v>
      </c>
      <c r="D6" s="60"/>
      <c r="E6" s="60"/>
      <c r="F6" s="60"/>
      <c r="G6" s="60"/>
      <c r="H6" s="14"/>
      <c r="I6" s="14"/>
      <c r="J6" s="14" t="s">
        <v>18</v>
      </c>
      <c r="K6" s="60" t="s">
        <v>404</v>
      </c>
      <c r="L6" s="60"/>
      <c r="M6" s="60"/>
      <c r="N6" s="15"/>
      <c r="O6" s="16" t="s">
        <v>20</v>
      </c>
      <c r="P6" s="60" t="s">
        <v>405</v>
      </c>
      <c r="Q6" s="60"/>
      <c r="R6" s="17"/>
      <c r="S6" s="16" t="s">
        <v>22</v>
      </c>
      <c r="T6" s="60" t="s">
        <v>406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89.25" customHeight="1" thickTop="1" thickBot="1" x14ac:dyDescent="0.25">
      <c r="A11" s="21"/>
      <c r="B11" s="22" t="s">
        <v>38</v>
      </c>
      <c r="C11" s="83" t="s">
        <v>542</v>
      </c>
      <c r="D11" s="83"/>
      <c r="E11" s="83"/>
      <c r="F11" s="83"/>
      <c r="G11" s="83"/>
      <c r="H11" s="83"/>
      <c r="I11" s="83" t="s">
        <v>543</v>
      </c>
      <c r="J11" s="83"/>
      <c r="K11" s="83"/>
      <c r="L11" s="83" t="s">
        <v>544</v>
      </c>
      <c r="M11" s="83"/>
      <c r="N11" s="83"/>
      <c r="O11" s="83"/>
      <c r="P11" s="23" t="s">
        <v>42</v>
      </c>
      <c r="Q11" s="23" t="s">
        <v>545</v>
      </c>
      <c r="R11" s="23">
        <v>100</v>
      </c>
      <c r="S11" s="23">
        <v>0</v>
      </c>
      <c r="T11" s="23">
        <v>90.82</v>
      </c>
      <c r="U11" s="47">
        <f>0</f>
        <v>0</v>
      </c>
    </row>
    <row r="12" spans="1:21" ht="101.25" customHeight="1" thickTop="1" thickBot="1" x14ac:dyDescent="0.25">
      <c r="A12" s="21"/>
      <c r="B12" s="22" t="s">
        <v>44</v>
      </c>
      <c r="C12" s="83" t="s">
        <v>546</v>
      </c>
      <c r="D12" s="83"/>
      <c r="E12" s="83"/>
      <c r="F12" s="83"/>
      <c r="G12" s="83"/>
      <c r="H12" s="83"/>
      <c r="I12" s="83" t="s">
        <v>547</v>
      </c>
      <c r="J12" s="83"/>
      <c r="K12" s="83"/>
      <c r="L12" s="83" t="s">
        <v>548</v>
      </c>
      <c r="M12" s="83"/>
      <c r="N12" s="83"/>
      <c r="O12" s="83"/>
      <c r="P12" s="23" t="s">
        <v>42</v>
      </c>
      <c r="Q12" s="23" t="s">
        <v>43</v>
      </c>
      <c r="R12" s="23">
        <v>100</v>
      </c>
      <c r="S12" s="23">
        <v>100</v>
      </c>
      <c r="T12" s="23">
        <v>98.17</v>
      </c>
      <c r="U12" s="47">
        <f>98.17</f>
        <v>98.17</v>
      </c>
    </row>
    <row r="13" spans="1:21" ht="89.25" customHeight="1" thickTop="1" x14ac:dyDescent="0.2">
      <c r="A13" s="21"/>
      <c r="B13" s="22" t="s">
        <v>49</v>
      </c>
      <c r="C13" s="83" t="s">
        <v>549</v>
      </c>
      <c r="D13" s="83"/>
      <c r="E13" s="83"/>
      <c r="F13" s="83"/>
      <c r="G13" s="83"/>
      <c r="H13" s="83"/>
      <c r="I13" s="83" t="s">
        <v>550</v>
      </c>
      <c r="J13" s="83"/>
      <c r="K13" s="83"/>
      <c r="L13" s="83" t="s">
        <v>551</v>
      </c>
      <c r="M13" s="83"/>
      <c r="N13" s="83"/>
      <c r="O13" s="83"/>
      <c r="P13" s="23" t="s">
        <v>42</v>
      </c>
      <c r="Q13" s="23" t="s">
        <v>134</v>
      </c>
      <c r="R13" s="23">
        <v>100</v>
      </c>
      <c r="S13" s="23">
        <v>100</v>
      </c>
      <c r="T13" s="23">
        <v>99.47</v>
      </c>
      <c r="U13" s="47">
        <f>99.47</f>
        <v>99.47</v>
      </c>
    </row>
    <row r="14" spans="1:21" ht="75" customHeight="1" x14ac:dyDescent="0.2">
      <c r="A14" s="21"/>
      <c r="B14" s="24" t="s">
        <v>54</v>
      </c>
      <c r="C14" s="84" t="s">
        <v>552</v>
      </c>
      <c r="D14" s="84"/>
      <c r="E14" s="84"/>
      <c r="F14" s="84"/>
      <c r="G14" s="84"/>
      <c r="H14" s="84"/>
      <c r="I14" s="84" t="s">
        <v>553</v>
      </c>
      <c r="J14" s="84"/>
      <c r="K14" s="84"/>
      <c r="L14" s="84" t="s">
        <v>554</v>
      </c>
      <c r="M14" s="84"/>
      <c r="N14" s="84"/>
      <c r="O14" s="84"/>
      <c r="P14" s="25" t="s">
        <v>42</v>
      </c>
      <c r="Q14" s="25" t="s">
        <v>555</v>
      </c>
      <c r="R14" s="25">
        <v>30.02</v>
      </c>
      <c r="S14" s="25">
        <v>25</v>
      </c>
      <c r="T14" s="25">
        <v>281.82</v>
      </c>
      <c r="U14" s="26">
        <f>1127.29</f>
        <v>1127.29</v>
      </c>
    </row>
    <row r="15" spans="1:21" ht="96.75" customHeight="1" thickBot="1" x14ac:dyDescent="0.25">
      <c r="A15" s="21"/>
      <c r="B15" s="24" t="s">
        <v>54</v>
      </c>
      <c r="C15" s="84" t="s">
        <v>556</v>
      </c>
      <c r="D15" s="84"/>
      <c r="E15" s="84"/>
      <c r="F15" s="84"/>
      <c r="G15" s="84"/>
      <c r="H15" s="84"/>
      <c r="I15" s="84" t="s">
        <v>557</v>
      </c>
      <c r="J15" s="84"/>
      <c r="K15" s="84"/>
      <c r="L15" s="84" t="s">
        <v>558</v>
      </c>
      <c r="M15" s="84"/>
      <c r="N15" s="84"/>
      <c r="O15" s="84"/>
      <c r="P15" s="25" t="s">
        <v>494</v>
      </c>
      <c r="Q15" s="25" t="s">
        <v>48</v>
      </c>
      <c r="R15" s="25">
        <v>100</v>
      </c>
      <c r="S15" s="25">
        <v>100</v>
      </c>
      <c r="T15" s="25">
        <v>39.61</v>
      </c>
      <c r="U15" s="26">
        <f>39.61</f>
        <v>39.61</v>
      </c>
    </row>
    <row r="16" spans="1:21" ht="75" customHeight="1" thickTop="1" x14ac:dyDescent="0.2">
      <c r="A16" s="21"/>
      <c r="B16" s="22" t="s">
        <v>63</v>
      </c>
      <c r="C16" s="83" t="s">
        <v>559</v>
      </c>
      <c r="D16" s="83"/>
      <c r="E16" s="83"/>
      <c r="F16" s="83"/>
      <c r="G16" s="83"/>
      <c r="H16" s="83"/>
      <c r="I16" s="83" t="s">
        <v>560</v>
      </c>
      <c r="J16" s="83"/>
      <c r="K16" s="83"/>
      <c r="L16" s="83" t="s">
        <v>561</v>
      </c>
      <c r="M16" s="83"/>
      <c r="N16" s="83"/>
      <c r="O16" s="83"/>
      <c r="P16" s="23" t="s">
        <v>42</v>
      </c>
      <c r="Q16" s="23" t="s">
        <v>74</v>
      </c>
      <c r="R16" s="23">
        <v>100</v>
      </c>
      <c r="S16" s="23">
        <v>100</v>
      </c>
      <c r="T16" s="23">
        <v>99.47</v>
      </c>
      <c r="U16" s="47">
        <f>99.47</f>
        <v>99.47</v>
      </c>
    </row>
    <row r="17" spans="1:22" ht="100.5" customHeight="1" x14ac:dyDescent="0.2">
      <c r="A17" s="21"/>
      <c r="B17" s="24" t="s">
        <v>54</v>
      </c>
      <c r="C17" s="84" t="s">
        <v>562</v>
      </c>
      <c r="D17" s="84"/>
      <c r="E17" s="84"/>
      <c r="F17" s="84"/>
      <c r="G17" s="84"/>
      <c r="H17" s="84"/>
      <c r="I17" s="84" t="s">
        <v>563</v>
      </c>
      <c r="J17" s="84"/>
      <c r="K17" s="84"/>
      <c r="L17" s="84" t="s">
        <v>564</v>
      </c>
      <c r="M17" s="84"/>
      <c r="N17" s="84"/>
      <c r="O17" s="84"/>
      <c r="P17" s="25" t="s">
        <v>42</v>
      </c>
      <c r="Q17" s="25" t="s">
        <v>74</v>
      </c>
      <c r="R17" s="25" t="s">
        <v>123</v>
      </c>
      <c r="S17" s="25">
        <v>35</v>
      </c>
      <c r="T17" s="25">
        <v>32.270000000000003</v>
      </c>
      <c r="U17" s="26">
        <f>92.2</f>
        <v>92.2</v>
      </c>
    </row>
    <row r="18" spans="1:22" ht="114.75" customHeight="1" x14ac:dyDescent="0.2">
      <c r="A18" s="21"/>
      <c r="B18" s="24" t="s">
        <v>54</v>
      </c>
      <c r="C18" s="84" t="s">
        <v>565</v>
      </c>
      <c r="D18" s="84"/>
      <c r="E18" s="84"/>
      <c r="F18" s="84"/>
      <c r="G18" s="84"/>
      <c r="H18" s="84"/>
      <c r="I18" s="84" t="s">
        <v>566</v>
      </c>
      <c r="J18" s="84"/>
      <c r="K18" s="84"/>
      <c r="L18" s="84" t="s">
        <v>567</v>
      </c>
      <c r="M18" s="84"/>
      <c r="N18" s="84"/>
      <c r="O18" s="84"/>
      <c r="P18" s="25" t="s">
        <v>42</v>
      </c>
      <c r="Q18" s="25" t="s">
        <v>74</v>
      </c>
      <c r="R18" s="25" t="s">
        <v>123</v>
      </c>
      <c r="S18" s="25">
        <v>100</v>
      </c>
      <c r="T18" s="25">
        <v>357.7</v>
      </c>
      <c r="U18" s="26">
        <f>357.7</f>
        <v>357.7</v>
      </c>
    </row>
    <row r="19" spans="1:22" ht="75" customHeight="1" thickBot="1" x14ac:dyDescent="0.25">
      <c r="A19" s="21"/>
      <c r="B19" s="24" t="s">
        <v>54</v>
      </c>
      <c r="C19" s="84" t="s">
        <v>568</v>
      </c>
      <c r="D19" s="84"/>
      <c r="E19" s="84"/>
      <c r="F19" s="84"/>
      <c r="G19" s="84"/>
      <c r="H19" s="84"/>
      <c r="I19" s="84" t="s">
        <v>569</v>
      </c>
      <c r="J19" s="84"/>
      <c r="K19" s="84"/>
      <c r="L19" s="84" t="s">
        <v>570</v>
      </c>
      <c r="M19" s="84"/>
      <c r="N19" s="84"/>
      <c r="O19" s="84"/>
      <c r="P19" s="25" t="s">
        <v>571</v>
      </c>
      <c r="Q19" s="25" t="s">
        <v>74</v>
      </c>
      <c r="R19" s="25">
        <v>100</v>
      </c>
      <c r="S19" s="25">
        <v>100</v>
      </c>
      <c r="T19" s="25">
        <v>100</v>
      </c>
      <c r="U19" s="26">
        <f>100</f>
        <v>100</v>
      </c>
    </row>
    <row r="20" spans="1:22" ht="14.25" customHeight="1" thickTop="1" thickBot="1" x14ac:dyDescent="0.25">
      <c r="B20" s="4" t="s">
        <v>92</v>
      </c>
      <c r="C20" s="5"/>
      <c r="D20" s="5"/>
      <c r="E20" s="5"/>
      <c r="F20" s="5"/>
      <c r="G20" s="5"/>
      <c r="H20" s="6"/>
      <c r="I20" s="6"/>
      <c r="J20" s="6"/>
      <c r="K20" s="6"/>
      <c r="L20" s="6"/>
      <c r="M20" s="6"/>
      <c r="N20" s="6"/>
      <c r="O20" s="6"/>
      <c r="P20" s="6"/>
      <c r="Q20" s="6"/>
      <c r="R20" s="6"/>
      <c r="S20" s="6"/>
      <c r="T20" s="6"/>
      <c r="U20" s="7"/>
      <c r="V20" s="27"/>
    </row>
    <row r="21" spans="1:22" ht="26.25" customHeight="1" thickTop="1" x14ac:dyDescent="0.2">
      <c r="B21" s="28"/>
      <c r="C21" s="29"/>
      <c r="D21" s="29"/>
      <c r="E21" s="29"/>
      <c r="F21" s="29"/>
      <c r="G21" s="29"/>
      <c r="H21" s="30"/>
      <c r="I21" s="30"/>
      <c r="J21" s="30"/>
      <c r="K21" s="30"/>
      <c r="L21" s="30"/>
      <c r="M21" s="30"/>
      <c r="N21" s="30"/>
      <c r="O21" s="30"/>
      <c r="P21" s="30"/>
      <c r="Q21" s="30"/>
      <c r="R21" s="31"/>
      <c r="S21" s="32" t="s">
        <v>33</v>
      </c>
      <c r="T21" s="32" t="s">
        <v>93</v>
      </c>
      <c r="U21" s="18" t="s">
        <v>94</v>
      </c>
    </row>
    <row r="22" spans="1:22" ht="26.25" customHeight="1" thickBot="1" x14ac:dyDescent="0.25">
      <c r="B22" s="33"/>
      <c r="C22" s="34"/>
      <c r="D22" s="34"/>
      <c r="E22" s="34"/>
      <c r="F22" s="34"/>
      <c r="G22" s="34"/>
      <c r="H22" s="35"/>
      <c r="I22" s="35"/>
      <c r="J22" s="35"/>
      <c r="K22" s="35"/>
      <c r="L22" s="35"/>
      <c r="M22" s="35"/>
      <c r="N22" s="35"/>
      <c r="O22" s="35"/>
      <c r="P22" s="35"/>
      <c r="Q22" s="35"/>
      <c r="R22" s="35"/>
      <c r="S22" s="36" t="s">
        <v>95</v>
      </c>
      <c r="T22" s="37" t="s">
        <v>95</v>
      </c>
      <c r="U22" s="37" t="s">
        <v>96</v>
      </c>
    </row>
    <row r="23" spans="1:22" ht="13.5" customHeight="1" thickBot="1" x14ac:dyDescent="0.25">
      <c r="B23" s="88" t="s">
        <v>97</v>
      </c>
      <c r="C23" s="89"/>
      <c r="D23" s="89"/>
      <c r="E23" s="38"/>
      <c r="F23" s="38"/>
      <c r="G23" s="38"/>
      <c r="H23" s="39"/>
      <c r="I23" s="39"/>
      <c r="J23" s="39"/>
      <c r="K23" s="39"/>
      <c r="L23" s="39"/>
      <c r="M23" s="39"/>
      <c r="N23" s="39"/>
      <c r="O23" s="39"/>
      <c r="P23" s="40"/>
      <c r="Q23" s="40"/>
      <c r="R23" s="40"/>
      <c r="S23" s="48">
        <v>55.7</v>
      </c>
      <c r="T23" s="48">
        <v>55.154024089999993</v>
      </c>
      <c r="U23" s="49">
        <f>+IF(ISERR(T23/S23*100),"N/A",ROUND(T23/S23*100,1))</f>
        <v>99</v>
      </c>
    </row>
    <row r="24" spans="1:22" ht="13.5" customHeight="1" thickBot="1" x14ac:dyDescent="0.25">
      <c r="B24" s="90" t="s">
        <v>98</v>
      </c>
      <c r="C24" s="91"/>
      <c r="D24" s="91"/>
      <c r="E24" s="41"/>
      <c r="F24" s="41"/>
      <c r="G24" s="41"/>
      <c r="H24" s="42"/>
      <c r="I24" s="42"/>
      <c r="J24" s="42"/>
      <c r="K24" s="42"/>
      <c r="L24" s="42"/>
      <c r="M24" s="42"/>
      <c r="N24" s="42"/>
      <c r="O24" s="42"/>
      <c r="P24" s="43"/>
      <c r="Q24" s="43"/>
      <c r="R24" s="43"/>
      <c r="S24" s="48">
        <v>55.154024089999986</v>
      </c>
      <c r="T24" s="48">
        <v>55.154024089999993</v>
      </c>
      <c r="U24" s="49">
        <f>+IF(ISERR(T24/S24*100),"N/A",ROUND(T24/S24*100,1))</f>
        <v>100</v>
      </c>
    </row>
    <row r="25" spans="1:22" ht="14.85" customHeight="1" thickTop="1" thickBot="1" x14ac:dyDescent="0.25">
      <c r="B25" s="4" t="s">
        <v>99</v>
      </c>
      <c r="C25" s="5"/>
      <c r="D25" s="5"/>
      <c r="E25" s="5"/>
      <c r="F25" s="5"/>
      <c r="G25" s="5"/>
      <c r="H25" s="6"/>
      <c r="I25" s="6"/>
      <c r="J25" s="6"/>
      <c r="K25" s="6"/>
      <c r="L25" s="6"/>
      <c r="M25" s="6"/>
      <c r="N25" s="6"/>
      <c r="O25" s="6"/>
      <c r="P25" s="6"/>
      <c r="Q25" s="6"/>
      <c r="R25" s="6"/>
      <c r="S25" s="6"/>
      <c r="T25" s="6"/>
      <c r="U25" s="7"/>
    </row>
    <row r="26" spans="1:22" ht="44.25" customHeight="1" thickTop="1" x14ac:dyDescent="0.2">
      <c r="B26" s="92" t="s">
        <v>100</v>
      </c>
      <c r="C26" s="93"/>
      <c r="D26" s="93"/>
      <c r="E26" s="93"/>
      <c r="F26" s="93"/>
      <c r="G26" s="93"/>
      <c r="H26" s="93"/>
      <c r="I26" s="93"/>
      <c r="J26" s="93"/>
      <c r="K26" s="93"/>
      <c r="L26" s="93"/>
      <c r="M26" s="93"/>
      <c r="N26" s="93"/>
      <c r="O26" s="93"/>
      <c r="P26" s="93"/>
      <c r="Q26" s="93"/>
      <c r="R26" s="93"/>
      <c r="S26" s="93"/>
      <c r="T26" s="93"/>
      <c r="U26" s="94"/>
    </row>
    <row r="27" spans="1:22" ht="59.25" customHeight="1" x14ac:dyDescent="0.2">
      <c r="B27" s="85" t="s">
        <v>572</v>
      </c>
      <c r="C27" s="86"/>
      <c r="D27" s="86"/>
      <c r="E27" s="86"/>
      <c r="F27" s="86"/>
      <c r="G27" s="86"/>
      <c r="H27" s="86"/>
      <c r="I27" s="86"/>
      <c r="J27" s="86"/>
      <c r="K27" s="86"/>
      <c r="L27" s="86"/>
      <c r="M27" s="86"/>
      <c r="N27" s="86"/>
      <c r="O27" s="86"/>
      <c r="P27" s="86"/>
      <c r="Q27" s="86"/>
      <c r="R27" s="86"/>
      <c r="S27" s="86"/>
      <c r="T27" s="86"/>
      <c r="U27" s="87"/>
    </row>
    <row r="28" spans="1:22" ht="45.75" customHeight="1" x14ac:dyDescent="0.2">
      <c r="B28" s="85" t="s">
        <v>573</v>
      </c>
      <c r="C28" s="86"/>
      <c r="D28" s="86"/>
      <c r="E28" s="86"/>
      <c r="F28" s="86"/>
      <c r="G28" s="86"/>
      <c r="H28" s="86"/>
      <c r="I28" s="86"/>
      <c r="J28" s="86"/>
      <c r="K28" s="86"/>
      <c r="L28" s="86"/>
      <c r="M28" s="86"/>
      <c r="N28" s="86"/>
      <c r="O28" s="86"/>
      <c r="P28" s="86"/>
      <c r="Q28" s="86"/>
      <c r="R28" s="86"/>
      <c r="S28" s="86"/>
      <c r="T28" s="86"/>
      <c r="U28" s="87"/>
    </row>
    <row r="29" spans="1:22" ht="45" customHeight="1" x14ac:dyDescent="0.2">
      <c r="B29" s="85" t="s">
        <v>574</v>
      </c>
      <c r="C29" s="86"/>
      <c r="D29" s="86"/>
      <c r="E29" s="86"/>
      <c r="F29" s="86"/>
      <c r="G29" s="86"/>
      <c r="H29" s="86"/>
      <c r="I29" s="86"/>
      <c r="J29" s="86"/>
      <c r="K29" s="86"/>
      <c r="L29" s="86"/>
      <c r="M29" s="86"/>
      <c r="N29" s="86"/>
      <c r="O29" s="86"/>
      <c r="P29" s="86"/>
      <c r="Q29" s="86"/>
      <c r="R29" s="86"/>
      <c r="S29" s="86"/>
      <c r="T29" s="86"/>
      <c r="U29" s="87"/>
    </row>
    <row r="30" spans="1:22" ht="69" customHeight="1" x14ac:dyDescent="0.2">
      <c r="B30" s="85" t="s">
        <v>575</v>
      </c>
      <c r="C30" s="86"/>
      <c r="D30" s="86"/>
      <c r="E30" s="86"/>
      <c r="F30" s="86"/>
      <c r="G30" s="86"/>
      <c r="H30" s="86"/>
      <c r="I30" s="86"/>
      <c r="J30" s="86"/>
      <c r="K30" s="86"/>
      <c r="L30" s="86"/>
      <c r="M30" s="86"/>
      <c r="N30" s="86"/>
      <c r="O30" s="86"/>
      <c r="P30" s="86"/>
      <c r="Q30" s="86"/>
      <c r="R30" s="86"/>
      <c r="S30" s="86"/>
      <c r="T30" s="86"/>
      <c r="U30" s="87"/>
    </row>
    <row r="31" spans="1:22" ht="43.5" customHeight="1" x14ac:dyDescent="0.2">
      <c r="B31" s="85" t="s">
        <v>576</v>
      </c>
      <c r="C31" s="86"/>
      <c r="D31" s="86"/>
      <c r="E31" s="86"/>
      <c r="F31" s="86"/>
      <c r="G31" s="86"/>
      <c r="H31" s="86"/>
      <c r="I31" s="86"/>
      <c r="J31" s="86"/>
      <c r="K31" s="86"/>
      <c r="L31" s="86"/>
      <c r="M31" s="86"/>
      <c r="N31" s="86"/>
      <c r="O31" s="86"/>
      <c r="P31" s="86"/>
      <c r="Q31" s="86"/>
      <c r="R31" s="86"/>
      <c r="S31" s="86"/>
      <c r="T31" s="86"/>
      <c r="U31" s="87"/>
    </row>
    <row r="32" spans="1:22" ht="63" customHeight="1" x14ac:dyDescent="0.2">
      <c r="B32" s="85" t="s">
        <v>577</v>
      </c>
      <c r="C32" s="86"/>
      <c r="D32" s="86"/>
      <c r="E32" s="86"/>
      <c r="F32" s="86"/>
      <c r="G32" s="86"/>
      <c r="H32" s="86"/>
      <c r="I32" s="86"/>
      <c r="J32" s="86"/>
      <c r="K32" s="86"/>
      <c r="L32" s="86"/>
      <c r="M32" s="86"/>
      <c r="N32" s="86"/>
      <c r="O32" s="86"/>
      <c r="P32" s="86"/>
      <c r="Q32" s="86"/>
      <c r="R32" s="86"/>
      <c r="S32" s="86"/>
      <c r="T32" s="86"/>
      <c r="U32" s="87"/>
    </row>
    <row r="33" spans="2:21" ht="75" customHeight="1" x14ac:dyDescent="0.2">
      <c r="B33" s="85" t="s">
        <v>578</v>
      </c>
      <c r="C33" s="86"/>
      <c r="D33" s="86"/>
      <c r="E33" s="86"/>
      <c r="F33" s="86"/>
      <c r="G33" s="86"/>
      <c r="H33" s="86"/>
      <c r="I33" s="86"/>
      <c r="J33" s="86"/>
      <c r="K33" s="86"/>
      <c r="L33" s="86"/>
      <c r="M33" s="86"/>
      <c r="N33" s="86"/>
      <c r="O33" s="86"/>
      <c r="P33" s="86"/>
      <c r="Q33" s="86"/>
      <c r="R33" s="86"/>
      <c r="S33" s="86"/>
      <c r="T33" s="86"/>
      <c r="U33" s="87"/>
    </row>
    <row r="34" spans="2:21" ht="78.75" customHeight="1" x14ac:dyDescent="0.2">
      <c r="B34" s="85" t="s">
        <v>579</v>
      </c>
      <c r="C34" s="86"/>
      <c r="D34" s="86"/>
      <c r="E34" s="86"/>
      <c r="F34" s="86"/>
      <c r="G34" s="86"/>
      <c r="H34" s="86"/>
      <c r="I34" s="86"/>
      <c r="J34" s="86"/>
      <c r="K34" s="86"/>
      <c r="L34" s="86"/>
      <c r="M34" s="86"/>
      <c r="N34" s="86"/>
      <c r="O34" s="86"/>
      <c r="P34" s="86"/>
      <c r="Q34" s="86"/>
      <c r="R34" s="86"/>
      <c r="S34" s="86"/>
      <c r="T34" s="86"/>
      <c r="U34" s="87"/>
    </row>
    <row r="35" spans="2:21" ht="45.75" customHeight="1" thickBot="1" x14ac:dyDescent="0.25">
      <c r="B35" s="95" t="s">
        <v>580</v>
      </c>
      <c r="C35" s="96"/>
      <c r="D35" s="96"/>
      <c r="E35" s="96"/>
      <c r="F35" s="96"/>
      <c r="G35" s="96"/>
      <c r="H35" s="96"/>
      <c r="I35" s="96"/>
      <c r="J35" s="96"/>
      <c r="K35" s="96"/>
      <c r="L35" s="96"/>
      <c r="M35" s="96"/>
      <c r="N35" s="96"/>
      <c r="O35" s="96"/>
      <c r="P35" s="96"/>
      <c r="Q35" s="96"/>
      <c r="R35" s="96"/>
      <c r="S35" s="96"/>
      <c r="T35" s="96"/>
      <c r="U35" s="97"/>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581</v>
      </c>
      <c r="D4" s="57" t="s">
        <v>582</v>
      </c>
      <c r="E4" s="57"/>
      <c r="F4" s="57"/>
      <c r="G4" s="57"/>
      <c r="H4" s="57"/>
      <c r="I4" s="10"/>
      <c r="J4" s="11" t="s">
        <v>9</v>
      </c>
      <c r="K4" s="12" t="s">
        <v>10</v>
      </c>
      <c r="L4" s="58" t="s">
        <v>11</v>
      </c>
      <c r="M4" s="58"/>
      <c r="N4" s="58"/>
      <c r="O4" s="58"/>
      <c r="P4" s="11" t="s">
        <v>12</v>
      </c>
      <c r="Q4" s="58" t="s">
        <v>403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228</v>
      </c>
      <c r="D6" s="60"/>
      <c r="E6" s="60"/>
      <c r="F6" s="60"/>
      <c r="G6" s="60"/>
      <c r="H6" s="14"/>
      <c r="I6" s="14"/>
      <c r="J6" s="14" t="s">
        <v>18</v>
      </c>
      <c r="K6" s="60" t="s">
        <v>404</v>
      </c>
      <c r="L6" s="60"/>
      <c r="M6" s="60"/>
      <c r="N6" s="15"/>
      <c r="O6" s="16" t="s">
        <v>20</v>
      </c>
      <c r="P6" s="60" t="s">
        <v>405</v>
      </c>
      <c r="Q6" s="60"/>
      <c r="R6" s="17"/>
      <c r="S6" s="16" t="s">
        <v>22</v>
      </c>
      <c r="T6" s="60" t="s">
        <v>406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96" customHeight="1" thickTop="1" thickBot="1" x14ac:dyDescent="0.25">
      <c r="A11" s="21"/>
      <c r="B11" s="22" t="s">
        <v>38</v>
      </c>
      <c r="C11" s="83" t="s">
        <v>583</v>
      </c>
      <c r="D11" s="83"/>
      <c r="E11" s="83"/>
      <c r="F11" s="83"/>
      <c r="G11" s="83"/>
      <c r="H11" s="83"/>
      <c r="I11" s="83" t="s">
        <v>584</v>
      </c>
      <c r="J11" s="83"/>
      <c r="K11" s="83"/>
      <c r="L11" s="83" t="s">
        <v>585</v>
      </c>
      <c r="M11" s="83"/>
      <c r="N11" s="83"/>
      <c r="O11" s="83"/>
      <c r="P11" s="23" t="s">
        <v>42</v>
      </c>
      <c r="Q11" s="23" t="s">
        <v>43</v>
      </c>
      <c r="R11" s="23">
        <v>79.89</v>
      </c>
      <c r="S11" s="23">
        <v>79.95</v>
      </c>
      <c r="T11" s="23">
        <v>82.66</v>
      </c>
      <c r="U11" s="47">
        <f>103.39</f>
        <v>103.39</v>
      </c>
    </row>
    <row r="12" spans="1:21" ht="75" customHeight="1" thickTop="1" thickBot="1" x14ac:dyDescent="0.25">
      <c r="A12" s="21"/>
      <c r="B12" s="22" t="s">
        <v>44</v>
      </c>
      <c r="C12" s="83" t="s">
        <v>586</v>
      </c>
      <c r="D12" s="83"/>
      <c r="E12" s="83"/>
      <c r="F12" s="83"/>
      <c r="G12" s="83"/>
      <c r="H12" s="83"/>
      <c r="I12" s="83" t="s">
        <v>587</v>
      </c>
      <c r="J12" s="83"/>
      <c r="K12" s="83"/>
      <c r="L12" s="83" t="s">
        <v>588</v>
      </c>
      <c r="M12" s="83"/>
      <c r="N12" s="83"/>
      <c r="O12" s="83"/>
      <c r="P12" s="23" t="s">
        <v>42</v>
      </c>
      <c r="Q12" s="23" t="s">
        <v>43</v>
      </c>
      <c r="R12" s="23">
        <v>55.13</v>
      </c>
      <c r="S12" s="23">
        <v>55.13</v>
      </c>
      <c r="T12" s="23">
        <v>71.03</v>
      </c>
      <c r="U12" s="47">
        <f>128.83</f>
        <v>128.83000000000001</v>
      </c>
    </row>
    <row r="13" spans="1:21" ht="99" customHeight="1" thickTop="1" x14ac:dyDescent="0.2">
      <c r="A13" s="21"/>
      <c r="B13" s="22" t="s">
        <v>49</v>
      </c>
      <c r="C13" s="83" t="s">
        <v>589</v>
      </c>
      <c r="D13" s="83"/>
      <c r="E13" s="83"/>
      <c r="F13" s="83"/>
      <c r="G13" s="83"/>
      <c r="H13" s="83"/>
      <c r="I13" s="83" t="s">
        <v>590</v>
      </c>
      <c r="J13" s="83"/>
      <c r="K13" s="83"/>
      <c r="L13" s="83" t="s">
        <v>591</v>
      </c>
      <c r="M13" s="83"/>
      <c r="N13" s="83"/>
      <c r="O13" s="83"/>
      <c r="P13" s="23" t="s">
        <v>42</v>
      </c>
      <c r="Q13" s="23" t="s">
        <v>165</v>
      </c>
      <c r="R13" s="23">
        <v>110</v>
      </c>
      <c r="S13" s="23">
        <v>110</v>
      </c>
      <c r="T13" s="23">
        <v>87.79</v>
      </c>
      <c r="U13" s="47">
        <f>79.81</f>
        <v>79.81</v>
      </c>
    </row>
    <row r="14" spans="1:21" ht="102.75" customHeight="1" thickBot="1" x14ac:dyDescent="0.25">
      <c r="A14" s="21"/>
      <c r="B14" s="24" t="s">
        <v>54</v>
      </c>
      <c r="C14" s="84" t="s">
        <v>592</v>
      </c>
      <c r="D14" s="84"/>
      <c r="E14" s="84"/>
      <c r="F14" s="84"/>
      <c r="G14" s="84"/>
      <c r="H14" s="84"/>
      <c r="I14" s="84" t="s">
        <v>593</v>
      </c>
      <c r="J14" s="84"/>
      <c r="K14" s="84"/>
      <c r="L14" s="84" t="s">
        <v>594</v>
      </c>
      <c r="M14" s="84"/>
      <c r="N14" s="84"/>
      <c r="O14" s="84"/>
      <c r="P14" s="25" t="s">
        <v>42</v>
      </c>
      <c r="Q14" s="25" t="s">
        <v>48</v>
      </c>
      <c r="R14" s="25">
        <v>81.25</v>
      </c>
      <c r="S14" s="25">
        <v>82.5</v>
      </c>
      <c r="T14" s="25">
        <v>40</v>
      </c>
      <c r="U14" s="26">
        <f>48.48</f>
        <v>48.48</v>
      </c>
    </row>
    <row r="15" spans="1:21" ht="75" customHeight="1" thickTop="1" x14ac:dyDescent="0.2">
      <c r="A15" s="21"/>
      <c r="B15" s="22" t="s">
        <v>63</v>
      </c>
      <c r="C15" s="83" t="s">
        <v>595</v>
      </c>
      <c r="D15" s="83"/>
      <c r="E15" s="83"/>
      <c r="F15" s="83"/>
      <c r="G15" s="83"/>
      <c r="H15" s="83"/>
      <c r="I15" s="83" t="s">
        <v>596</v>
      </c>
      <c r="J15" s="83"/>
      <c r="K15" s="83"/>
      <c r="L15" s="83" t="s">
        <v>597</v>
      </c>
      <c r="M15" s="83"/>
      <c r="N15" s="83"/>
      <c r="O15" s="83"/>
      <c r="P15" s="23" t="s">
        <v>42</v>
      </c>
      <c r="Q15" s="23" t="s">
        <v>74</v>
      </c>
      <c r="R15" s="23">
        <v>80</v>
      </c>
      <c r="S15" s="23">
        <v>80</v>
      </c>
      <c r="T15" s="23">
        <v>87.61</v>
      </c>
      <c r="U15" s="47">
        <f>109.51</f>
        <v>109.51</v>
      </c>
    </row>
    <row r="16" spans="1:21" ht="75" customHeight="1" x14ac:dyDescent="0.2">
      <c r="A16" s="21"/>
      <c r="B16" s="24" t="s">
        <v>54</v>
      </c>
      <c r="C16" s="84" t="s">
        <v>598</v>
      </c>
      <c r="D16" s="84"/>
      <c r="E16" s="84"/>
      <c r="F16" s="84"/>
      <c r="G16" s="84"/>
      <c r="H16" s="84"/>
      <c r="I16" s="84" t="s">
        <v>599</v>
      </c>
      <c r="J16" s="84"/>
      <c r="K16" s="84"/>
      <c r="L16" s="84" t="s">
        <v>600</v>
      </c>
      <c r="M16" s="84"/>
      <c r="N16" s="84"/>
      <c r="O16" s="84"/>
      <c r="P16" s="25" t="s">
        <v>42</v>
      </c>
      <c r="Q16" s="25" t="s">
        <v>74</v>
      </c>
      <c r="R16" s="25">
        <v>100</v>
      </c>
      <c r="S16" s="25">
        <v>100</v>
      </c>
      <c r="T16" s="25">
        <v>95.86</v>
      </c>
      <c r="U16" s="26">
        <f>95.86</f>
        <v>95.86</v>
      </c>
    </row>
    <row r="17" spans="1:22" ht="75" customHeight="1" x14ac:dyDescent="0.2">
      <c r="A17" s="21"/>
      <c r="B17" s="24" t="s">
        <v>54</v>
      </c>
      <c r="C17" s="84" t="s">
        <v>601</v>
      </c>
      <c r="D17" s="84"/>
      <c r="E17" s="84"/>
      <c r="F17" s="84"/>
      <c r="G17" s="84"/>
      <c r="H17" s="84"/>
      <c r="I17" s="84" t="s">
        <v>602</v>
      </c>
      <c r="J17" s="84"/>
      <c r="K17" s="84"/>
      <c r="L17" s="84" t="s">
        <v>603</v>
      </c>
      <c r="M17" s="84"/>
      <c r="N17" s="84"/>
      <c r="O17" s="84"/>
      <c r="P17" s="25" t="s">
        <v>42</v>
      </c>
      <c r="Q17" s="25" t="s">
        <v>74</v>
      </c>
      <c r="R17" s="25">
        <v>60.16</v>
      </c>
      <c r="S17" s="25">
        <v>60.16</v>
      </c>
      <c r="T17" s="25">
        <v>61.76</v>
      </c>
      <c r="U17" s="26">
        <f>102.67</f>
        <v>102.67</v>
      </c>
    </row>
    <row r="18" spans="1:22" ht="95.25" customHeight="1" x14ac:dyDescent="0.2">
      <c r="A18" s="21"/>
      <c r="B18" s="24" t="s">
        <v>54</v>
      </c>
      <c r="C18" s="84" t="s">
        <v>604</v>
      </c>
      <c r="D18" s="84"/>
      <c r="E18" s="84"/>
      <c r="F18" s="84"/>
      <c r="G18" s="84"/>
      <c r="H18" s="84"/>
      <c r="I18" s="84" t="s">
        <v>605</v>
      </c>
      <c r="J18" s="84"/>
      <c r="K18" s="84"/>
      <c r="L18" s="84" t="s">
        <v>606</v>
      </c>
      <c r="M18" s="84"/>
      <c r="N18" s="84"/>
      <c r="O18" s="84"/>
      <c r="P18" s="25" t="s">
        <v>42</v>
      </c>
      <c r="Q18" s="25" t="s">
        <v>74</v>
      </c>
      <c r="R18" s="25">
        <v>0.09</v>
      </c>
      <c r="S18" s="25">
        <v>0.19</v>
      </c>
      <c r="T18" s="25">
        <v>0.16</v>
      </c>
      <c r="U18" s="26">
        <f>83.17</f>
        <v>83.17</v>
      </c>
    </row>
    <row r="19" spans="1:22" ht="96.75" customHeight="1" thickBot="1" x14ac:dyDescent="0.25">
      <c r="A19" s="21"/>
      <c r="B19" s="24" t="s">
        <v>54</v>
      </c>
      <c r="C19" s="84" t="s">
        <v>607</v>
      </c>
      <c r="D19" s="84"/>
      <c r="E19" s="84"/>
      <c r="F19" s="84"/>
      <c r="G19" s="84"/>
      <c r="H19" s="84"/>
      <c r="I19" s="84" t="s">
        <v>608</v>
      </c>
      <c r="J19" s="84"/>
      <c r="K19" s="84"/>
      <c r="L19" s="84" t="s">
        <v>609</v>
      </c>
      <c r="M19" s="84"/>
      <c r="N19" s="84"/>
      <c r="O19" s="84"/>
      <c r="P19" s="25" t="s">
        <v>42</v>
      </c>
      <c r="Q19" s="25" t="s">
        <v>212</v>
      </c>
      <c r="R19" s="25">
        <v>96.88</v>
      </c>
      <c r="S19" s="25">
        <v>97.5</v>
      </c>
      <c r="T19" s="25">
        <v>62.5</v>
      </c>
      <c r="U19" s="26">
        <f>64.1</f>
        <v>64.099999999999994</v>
      </c>
    </row>
    <row r="20" spans="1:22" ht="14.25" customHeight="1" thickTop="1" thickBot="1" x14ac:dyDescent="0.25">
      <c r="B20" s="4" t="s">
        <v>92</v>
      </c>
      <c r="C20" s="5"/>
      <c r="D20" s="5"/>
      <c r="E20" s="5"/>
      <c r="F20" s="5"/>
      <c r="G20" s="5"/>
      <c r="H20" s="6"/>
      <c r="I20" s="6"/>
      <c r="J20" s="6"/>
      <c r="K20" s="6"/>
      <c r="L20" s="6"/>
      <c r="M20" s="6"/>
      <c r="N20" s="6"/>
      <c r="O20" s="6"/>
      <c r="P20" s="6"/>
      <c r="Q20" s="6"/>
      <c r="R20" s="6"/>
      <c r="S20" s="6"/>
      <c r="T20" s="6"/>
      <c r="U20" s="7"/>
      <c r="V20" s="27"/>
    </row>
    <row r="21" spans="1:22" ht="26.25" customHeight="1" thickTop="1" x14ac:dyDescent="0.2">
      <c r="B21" s="28"/>
      <c r="C21" s="29"/>
      <c r="D21" s="29"/>
      <c r="E21" s="29"/>
      <c r="F21" s="29"/>
      <c r="G21" s="29"/>
      <c r="H21" s="30"/>
      <c r="I21" s="30"/>
      <c r="J21" s="30"/>
      <c r="K21" s="30"/>
      <c r="L21" s="30"/>
      <c r="M21" s="30"/>
      <c r="N21" s="30"/>
      <c r="O21" s="30"/>
      <c r="P21" s="30"/>
      <c r="Q21" s="30"/>
      <c r="R21" s="31"/>
      <c r="S21" s="32" t="s">
        <v>33</v>
      </c>
      <c r="T21" s="32" t="s">
        <v>93</v>
      </c>
      <c r="U21" s="18" t="s">
        <v>94</v>
      </c>
    </row>
    <row r="22" spans="1:22" ht="26.25" customHeight="1" thickBot="1" x14ac:dyDescent="0.25">
      <c r="B22" s="33"/>
      <c r="C22" s="34"/>
      <c r="D22" s="34"/>
      <c r="E22" s="34"/>
      <c r="F22" s="34"/>
      <c r="G22" s="34"/>
      <c r="H22" s="35"/>
      <c r="I22" s="35"/>
      <c r="J22" s="35"/>
      <c r="K22" s="35"/>
      <c r="L22" s="35"/>
      <c r="M22" s="35"/>
      <c r="N22" s="35"/>
      <c r="O22" s="35"/>
      <c r="P22" s="35"/>
      <c r="Q22" s="35"/>
      <c r="R22" s="35"/>
      <c r="S22" s="36" t="s">
        <v>95</v>
      </c>
      <c r="T22" s="37" t="s">
        <v>95</v>
      </c>
      <c r="U22" s="37" t="s">
        <v>96</v>
      </c>
    </row>
    <row r="23" spans="1:22" ht="13.5" customHeight="1" thickBot="1" x14ac:dyDescent="0.25">
      <c r="B23" s="88" t="s">
        <v>97</v>
      </c>
      <c r="C23" s="89"/>
      <c r="D23" s="89"/>
      <c r="E23" s="38"/>
      <c r="F23" s="38"/>
      <c r="G23" s="38"/>
      <c r="H23" s="39"/>
      <c r="I23" s="39"/>
      <c r="J23" s="39"/>
      <c r="K23" s="39"/>
      <c r="L23" s="39"/>
      <c r="M23" s="39"/>
      <c r="N23" s="39"/>
      <c r="O23" s="39"/>
      <c r="P23" s="40"/>
      <c r="Q23" s="40"/>
      <c r="R23" s="40"/>
      <c r="S23" s="48">
        <v>227.19724500000001</v>
      </c>
      <c r="T23" s="48">
        <v>232.94171736999999</v>
      </c>
      <c r="U23" s="49">
        <f>+IF(ISERR(T23/S23*100),"N/A",ROUND(T23/S23*100,1))</f>
        <v>102.5</v>
      </c>
    </row>
    <row r="24" spans="1:22" ht="13.5" customHeight="1" thickBot="1" x14ac:dyDescent="0.25">
      <c r="B24" s="90" t="s">
        <v>98</v>
      </c>
      <c r="C24" s="91"/>
      <c r="D24" s="91"/>
      <c r="E24" s="41"/>
      <c r="F24" s="41"/>
      <c r="G24" s="41"/>
      <c r="H24" s="42"/>
      <c r="I24" s="42"/>
      <c r="J24" s="42"/>
      <c r="K24" s="42"/>
      <c r="L24" s="42"/>
      <c r="M24" s="42"/>
      <c r="N24" s="42"/>
      <c r="O24" s="42"/>
      <c r="P24" s="43"/>
      <c r="Q24" s="43"/>
      <c r="R24" s="43"/>
      <c r="S24" s="48">
        <v>232.94171736999999</v>
      </c>
      <c r="T24" s="48">
        <v>232.94171736999999</v>
      </c>
      <c r="U24" s="49">
        <f>+IF(ISERR(T24/S24*100),"N/A",ROUND(T24/S24*100,1))</f>
        <v>100</v>
      </c>
    </row>
    <row r="25" spans="1:22" ht="14.85" customHeight="1" thickTop="1" thickBot="1" x14ac:dyDescent="0.25">
      <c r="B25" s="4" t="s">
        <v>99</v>
      </c>
      <c r="C25" s="5"/>
      <c r="D25" s="5"/>
      <c r="E25" s="5"/>
      <c r="F25" s="5"/>
      <c r="G25" s="5"/>
      <c r="H25" s="6"/>
      <c r="I25" s="6"/>
      <c r="J25" s="6"/>
      <c r="K25" s="6"/>
      <c r="L25" s="6"/>
      <c r="M25" s="6"/>
      <c r="N25" s="6"/>
      <c r="O25" s="6"/>
      <c r="P25" s="6"/>
      <c r="Q25" s="6"/>
      <c r="R25" s="6"/>
      <c r="S25" s="6"/>
      <c r="T25" s="6"/>
      <c r="U25" s="7"/>
    </row>
    <row r="26" spans="1:22" ht="44.25" customHeight="1" thickTop="1" x14ac:dyDescent="0.2">
      <c r="B26" s="92" t="s">
        <v>100</v>
      </c>
      <c r="C26" s="93"/>
      <c r="D26" s="93"/>
      <c r="E26" s="93"/>
      <c r="F26" s="93"/>
      <c r="G26" s="93"/>
      <c r="H26" s="93"/>
      <c r="I26" s="93"/>
      <c r="J26" s="93"/>
      <c r="K26" s="93"/>
      <c r="L26" s="93"/>
      <c r="M26" s="93"/>
      <c r="N26" s="93"/>
      <c r="O26" s="93"/>
      <c r="P26" s="93"/>
      <c r="Q26" s="93"/>
      <c r="R26" s="93"/>
      <c r="S26" s="93"/>
      <c r="T26" s="93"/>
      <c r="U26" s="94"/>
    </row>
    <row r="27" spans="1:22" ht="96.75" customHeight="1" x14ac:dyDescent="0.2">
      <c r="B27" s="85" t="s">
        <v>610</v>
      </c>
      <c r="C27" s="86"/>
      <c r="D27" s="86"/>
      <c r="E27" s="86"/>
      <c r="F27" s="86"/>
      <c r="G27" s="86"/>
      <c r="H27" s="86"/>
      <c r="I27" s="86"/>
      <c r="J27" s="86"/>
      <c r="K27" s="86"/>
      <c r="L27" s="86"/>
      <c r="M27" s="86"/>
      <c r="N27" s="86"/>
      <c r="O27" s="86"/>
      <c r="P27" s="86"/>
      <c r="Q27" s="86"/>
      <c r="R27" s="86"/>
      <c r="S27" s="86"/>
      <c r="T27" s="86"/>
      <c r="U27" s="87"/>
    </row>
    <row r="28" spans="1:22" ht="222.75" customHeight="1" x14ac:dyDescent="0.2">
      <c r="B28" s="85" t="s">
        <v>611</v>
      </c>
      <c r="C28" s="86"/>
      <c r="D28" s="86"/>
      <c r="E28" s="86"/>
      <c r="F28" s="86"/>
      <c r="G28" s="86"/>
      <c r="H28" s="86"/>
      <c r="I28" s="86"/>
      <c r="J28" s="86"/>
      <c r="K28" s="86"/>
      <c r="L28" s="86"/>
      <c r="M28" s="86"/>
      <c r="N28" s="86"/>
      <c r="O28" s="86"/>
      <c r="P28" s="86"/>
      <c r="Q28" s="86"/>
      <c r="R28" s="86"/>
      <c r="S28" s="86"/>
      <c r="T28" s="86"/>
      <c r="U28" s="87"/>
    </row>
    <row r="29" spans="1:22" ht="106.5" customHeight="1" x14ac:dyDescent="0.2">
      <c r="B29" s="85" t="s">
        <v>612</v>
      </c>
      <c r="C29" s="86"/>
      <c r="D29" s="86"/>
      <c r="E29" s="86"/>
      <c r="F29" s="86"/>
      <c r="G29" s="86"/>
      <c r="H29" s="86"/>
      <c r="I29" s="86"/>
      <c r="J29" s="86"/>
      <c r="K29" s="86"/>
      <c r="L29" s="86"/>
      <c r="M29" s="86"/>
      <c r="N29" s="86"/>
      <c r="O29" s="86"/>
      <c r="P29" s="86"/>
      <c r="Q29" s="86"/>
      <c r="R29" s="86"/>
      <c r="S29" s="86"/>
      <c r="T29" s="86"/>
      <c r="U29" s="87"/>
    </row>
    <row r="30" spans="1:22" ht="76.5" customHeight="1" x14ac:dyDescent="0.2">
      <c r="B30" s="85" t="s">
        <v>613</v>
      </c>
      <c r="C30" s="86"/>
      <c r="D30" s="86"/>
      <c r="E30" s="86"/>
      <c r="F30" s="86"/>
      <c r="G30" s="86"/>
      <c r="H30" s="86"/>
      <c r="I30" s="86"/>
      <c r="J30" s="86"/>
      <c r="K30" s="86"/>
      <c r="L30" s="86"/>
      <c r="M30" s="86"/>
      <c r="N30" s="86"/>
      <c r="O30" s="86"/>
      <c r="P30" s="86"/>
      <c r="Q30" s="86"/>
      <c r="R30" s="86"/>
      <c r="S30" s="86"/>
      <c r="T30" s="86"/>
      <c r="U30" s="87"/>
    </row>
    <row r="31" spans="1:22" ht="126.75" customHeight="1" x14ac:dyDescent="0.2">
      <c r="B31" s="85" t="s">
        <v>614</v>
      </c>
      <c r="C31" s="86"/>
      <c r="D31" s="86"/>
      <c r="E31" s="86"/>
      <c r="F31" s="86"/>
      <c r="G31" s="86"/>
      <c r="H31" s="86"/>
      <c r="I31" s="86"/>
      <c r="J31" s="86"/>
      <c r="K31" s="86"/>
      <c r="L31" s="86"/>
      <c r="M31" s="86"/>
      <c r="N31" s="86"/>
      <c r="O31" s="86"/>
      <c r="P31" s="86"/>
      <c r="Q31" s="86"/>
      <c r="R31" s="86"/>
      <c r="S31" s="86"/>
      <c r="T31" s="86"/>
      <c r="U31" s="87"/>
    </row>
    <row r="32" spans="1:22" ht="81" customHeight="1" x14ac:dyDescent="0.2">
      <c r="B32" s="85" t="s">
        <v>615</v>
      </c>
      <c r="C32" s="86"/>
      <c r="D32" s="86"/>
      <c r="E32" s="86"/>
      <c r="F32" s="86"/>
      <c r="G32" s="86"/>
      <c r="H32" s="86"/>
      <c r="I32" s="86"/>
      <c r="J32" s="86"/>
      <c r="K32" s="86"/>
      <c r="L32" s="86"/>
      <c r="M32" s="86"/>
      <c r="N32" s="86"/>
      <c r="O32" s="86"/>
      <c r="P32" s="86"/>
      <c r="Q32" s="86"/>
      <c r="R32" s="86"/>
      <c r="S32" s="86"/>
      <c r="T32" s="86"/>
      <c r="U32" s="87"/>
    </row>
    <row r="33" spans="2:21" ht="89.25" customHeight="1" x14ac:dyDescent="0.2">
      <c r="B33" s="85" t="s">
        <v>616</v>
      </c>
      <c r="C33" s="86"/>
      <c r="D33" s="86"/>
      <c r="E33" s="86"/>
      <c r="F33" s="86"/>
      <c r="G33" s="86"/>
      <c r="H33" s="86"/>
      <c r="I33" s="86"/>
      <c r="J33" s="86"/>
      <c r="K33" s="86"/>
      <c r="L33" s="86"/>
      <c r="M33" s="86"/>
      <c r="N33" s="86"/>
      <c r="O33" s="86"/>
      <c r="P33" s="86"/>
      <c r="Q33" s="86"/>
      <c r="R33" s="86"/>
      <c r="S33" s="86"/>
      <c r="T33" s="86"/>
      <c r="U33" s="87"/>
    </row>
    <row r="34" spans="2:21" ht="157.35" customHeight="1" x14ac:dyDescent="0.2">
      <c r="B34" s="85" t="s">
        <v>617</v>
      </c>
      <c r="C34" s="86"/>
      <c r="D34" s="86"/>
      <c r="E34" s="86"/>
      <c r="F34" s="86"/>
      <c r="G34" s="86"/>
      <c r="H34" s="86"/>
      <c r="I34" s="86"/>
      <c r="J34" s="86"/>
      <c r="K34" s="86"/>
      <c r="L34" s="86"/>
      <c r="M34" s="86"/>
      <c r="N34" s="86"/>
      <c r="O34" s="86"/>
      <c r="P34" s="86"/>
      <c r="Q34" s="86"/>
      <c r="R34" s="86"/>
      <c r="S34" s="86"/>
      <c r="T34" s="86"/>
      <c r="U34" s="87"/>
    </row>
    <row r="35" spans="2:21" ht="71.099999999999994" customHeight="1" thickBot="1" x14ac:dyDescent="0.25">
      <c r="B35" s="95" t="s">
        <v>618</v>
      </c>
      <c r="C35" s="96"/>
      <c r="D35" s="96"/>
      <c r="E35" s="96"/>
      <c r="F35" s="96"/>
      <c r="G35" s="96"/>
      <c r="H35" s="96"/>
      <c r="I35" s="96"/>
      <c r="J35" s="96"/>
      <c r="K35" s="96"/>
      <c r="L35" s="96"/>
      <c r="M35" s="96"/>
      <c r="N35" s="96"/>
      <c r="O35" s="96"/>
      <c r="P35" s="96"/>
      <c r="Q35" s="96"/>
      <c r="R35" s="96"/>
      <c r="S35" s="96"/>
      <c r="T35" s="96"/>
      <c r="U35" s="97"/>
    </row>
  </sheetData>
  <mergeCells count="60">
    <mergeCell ref="B35:U35"/>
    <mergeCell ref="B23:D23"/>
    <mergeCell ref="B24:D24"/>
    <mergeCell ref="B26:U26"/>
    <mergeCell ref="B27:U27"/>
    <mergeCell ref="B28:U28"/>
    <mergeCell ref="B29:U29"/>
    <mergeCell ref="B30:U30"/>
    <mergeCell ref="B31:U31"/>
    <mergeCell ref="B32:U32"/>
    <mergeCell ref="B33:U33"/>
    <mergeCell ref="B34:U34"/>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0" t="s">
        <v>0</v>
      </c>
      <c r="C1" s="50"/>
      <c r="D1" s="50"/>
      <c r="E1" s="50"/>
      <c r="F1" s="50"/>
      <c r="G1" s="50"/>
      <c r="H1" s="50"/>
      <c r="I1" s="50"/>
      <c r="J1" s="50"/>
      <c r="K1" s="50"/>
      <c r="L1" s="50"/>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51.75" customHeight="1" thickTop="1" x14ac:dyDescent="0.2">
      <c r="B4" s="8" t="s">
        <v>6</v>
      </c>
      <c r="C4" s="9" t="s">
        <v>619</v>
      </c>
      <c r="D4" s="57" t="s">
        <v>620</v>
      </c>
      <c r="E4" s="57"/>
      <c r="F4" s="57"/>
      <c r="G4" s="57"/>
      <c r="H4" s="57"/>
      <c r="I4" s="10"/>
      <c r="J4" s="11" t="s">
        <v>9</v>
      </c>
      <c r="K4" s="12" t="s">
        <v>10</v>
      </c>
      <c r="L4" s="58" t="s">
        <v>11</v>
      </c>
      <c r="M4" s="58"/>
      <c r="N4" s="58"/>
      <c r="O4" s="58"/>
      <c r="P4" s="11" t="s">
        <v>12</v>
      </c>
      <c r="Q4" s="58" t="s">
        <v>299</v>
      </c>
      <c r="R4" s="58"/>
      <c r="S4" s="11" t="s">
        <v>14</v>
      </c>
      <c r="T4" s="58"/>
      <c r="U4" s="59"/>
    </row>
    <row r="5" spans="1:22" ht="15.75" customHeight="1" x14ac:dyDescent="0.2">
      <c r="B5" s="54" t="s">
        <v>15</v>
      </c>
      <c r="C5" s="55"/>
      <c r="D5" s="55"/>
      <c r="E5" s="55"/>
      <c r="F5" s="55"/>
      <c r="G5" s="55"/>
      <c r="H5" s="55"/>
      <c r="I5" s="55"/>
      <c r="J5" s="55"/>
      <c r="K5" s="55"/>
      <c r="L5" s="55"/>
      <c r="M5" s="55"/>
      <c r="N5" s="55"/>
      <c r="O5" s="55"/>
      <c r="P5" s="55"/>
      <c r="Q5" s="55"/>
      <c r="R5" s="55"/>
      <c r="S5" s="55"/>
      <c r="T5" s="55"/>
      <c r="U5" s="56"/>
    </row>
    <row r="6" spans="1:22" ht="88.5" customHeight="1" thickBot="1" x14ac:dyDescent="0.25">
      <c r="B6" s="13" t="s">
        <v>16</v>
      </c>
      <c r="C6" s="60" t="s">
        <v>197</v>
      </c>
      <c r="D6" s="60"/>
      <c r="E6" s="60"/>
      <c r="F6" s="60"/>
      <c r="G6" s="60"/>
      <c r="H6" s="14"/>
      <c r="I6" s="14"/>
      <c r="J6" s="14" t="s">
        <v>18</v>
      </c>
      <c r="K6" s="60" t="s">
        <v>198</v>
      </c>
      <c r="L6" s="60"/>
      <c r="M6" s="60"/>
      <c r="N6" s="15"/>
      <c r="O6" s="16" t="s">
        <v>20</v>
      </c>
      <c r="P6" s="60" t="s">
        <v>199</v>
      </c>
      <c r="Q6" s="60"/>
      <c r="R6" s="17"/>
      <c r="S6" s="16" t="s">
        <v>22</v>
      </c>
      <c r="T6" s="60" t="s">
        <v>300</v>
      </c>
      <c r="U6" s="61"/>
    </row>
    <row r="7" spans="1:22" ht="14.25" customHeight="1" thickTop="1" thickBot="1" x14ac:dyDescent="0.25">
      <c r="B7" s="4" t="s">
        <v>24</v>
      </c>
      <c r="C7" s="5"/>
      <c r="D7" s="5"/>
      <c r="E7" s="5"/>
      <c r="F7" s="5"/>
      <c r="G7" s="5"/>
      <c r="H7" s="6"/>
      <c r="I7" s="6"/>
      <c r="J7" s="6"/>
      <c r="K7" s="6"/>
      <c r="L7" s="6"/>
      <c r="M7" s="6"/>
      <c r="N7" s="6"/>
      <c r="O7" s="6"/>
      <c r="P7" s="6"/>
      <c r="Q7" s="6"/>
      <c r="R7" s="6"/>
      <c r="S7" s="6"/>
      <c r="T7" s="6"/>
      <c r="U7" s="7"/>
    </row>
    <row r="8" spans="1:22"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2"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2"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2" ht="117.75" customHeight="1" thickTop="1" thickBot="1" x14ac:dyDescent="0.25">
      <c r="A11" s="21"/>
      <c r="B11" s="22" t="s">
        <v>38</v>
      </c>
      <c r="C11" s="83" t="s">
        <v>621</v>
      </c>
      <c r="D11" s="83"/>
      <c r="E11" s="83"/>
      <c r="F11" s="83"/>
      <c r="G11" s="83"/>
      <c r="H11" s="83"/>
      <c r="I11" s="83" t="s">
        <v>622</v>
      </c>
      <c r="J11" s="83"/>
      <c r="K11" s="83"/>
      <c r="L11" s="83" t="s">
        <v>623</v>
      </c>
      <c r="M11" s="83"/>
      <c r="N11" s="83"/>
      <c r="O11" s="83"/>
      <c r="P11" s="23" t="s">
        <v>42</v>
      </c>
      <c r="Q11" s="23" t="s">
        <v>43</v>
      </c>
      <c r="R11" s="23">
        <v>2.38</v>
      </c>
      <c r="S11" s="23">
        <v>2.38</v>
      </c>
      <c r="T11" s="23">
        <v>1.89</v>
      </c>
      <c r="U11" s="47">
        <f>79.4</f>
        <v>79.400000000000006</v>
      </c>
    </row>
    <row r="12" spans="1:22" ht="97.5" customHeight="1" thickTop="1" thickBot="1" x14ac:dyDescent="0.25">
      <c r="A12" s="21"/>
      <c r="B12" s="22" t="s">
        <v>44</v>
      </c>
      <c r="C12" s="83" t="s">
        <v>624</v>
      </c>
      <c r="D12" s="83"/>
      <c r="E12" s="83"/>
      <c r="F12" s="83"/>
      <c r="G12" s="83"/>
      <c r="H12" s="83"/>
      <c r="I12" s="83" t="s">
        <v>625</v>
      </c>
      <c r="J12" s="83"/>
      <c r="K12" s="83"/>
      <c r="L12" s="83" t="s">
        <v>626</v>
      </c>
      <c r="M12" s="83"/>
      <c r="N12" s="83"/>
      <c r="O12" s="83"/>
      <c r="P12" s="23" t="s">
        <v>42</v>
      </c>
      <c r="Q12" s="23" t="s">
        <v>43</v>
      </c>
      <c r="R12" s="23">
        <v>51.28</v>
      </c>
      <c r="S12" s="23">
        <v>51.28</v>
      </c>
      <c r="T12" s="23">
        <v>30.36</v>
      </c>
      <c r="U12" s="47">
        <f>59.2</f>
        <v>59.2</v>
      </c>
    </row>
    <row r="13" spans="1:22" ht="146.25" customHeight="1" thickTop="1" thickBot="1" x14ac:dyDescent="0.25">
      <c r="A13" s="21"/>
      <c r="B13" s="22" t="s">
        <v>49</v>
      </c>
      <c r="C13" s="83" t="s">
        <v>627</v>
      </c>
      <c r="D13" s="83"/>
      <c r="E13" s="83"/>
      <c r="F13" s="83"/>
      <c r="G13" s="83"/>
      <c r="H13" s="83"/>
      <c r="I13" s="83" t="s">
        <v>628</v>
      </c>
      <c r="J13" s="83"/>
      <c r="K13" s="83"/>
      <c r="L13" s="83" t="s">
        <v>629</v>
      </c>
      <c r="M13" s="83"/>
      <c r="N13" s="83"/>
      <c r="O13" s="83"/>
      <c r="P13" s="23" t="s">
        <v>42</v>
      </c>
      <c r="Q13" s="23" t="s">
        <v>43</v>
      </c>
      <c r="R13" s="23">
        <v>27.94</v>
      </c>
      <c r="S13" s="23">
        <v>27.94</v>
      </c>
      <c r="T13" s="23">
        <v>20.23</v>
      </c>
      <c r="U13" s="47">
        <f>72.4</f>
        <v>72.400000000000006</v>
      </c>
    </row>
    <row r="14" spans="1:22" ht="108" customHeight="1" thickTop="1" thickBot="1" x14ac:dyDescent="0.25">
      <c r="A14" s="21"/>
      <c r="B14" s="22" t="s">
        <v>63</v>
      </c>
      <c r="C14" s="83" t="s">
        <v>630</v>
      </c>
      <c r="D14" s="83"/>
      <c r="E14" s="83"/>
      <c r="F14" s="83"/>
      <c r="G14" s="83"/>
      <c r="H14" s="83"/>
      <c r="I14" s="83" t="s">
        <v>631</v>
      </c>
      <c r="J14" s="83"/>
      <c r="K14" s="83"/>
      <c r="L14" s="83" t="s">
        <v>632</v>
      </c>
      <c r="M14" s="83"/>
      <c r="N14" s="83"/>
      <c r="O14" s="83"/>
      <c r="P14" s="23" t="s">
        <v>42</v>
      </c>
      <c r="Q14" s="23" t="s">
        <v>320</v>
      </c>
      <c r="R14" s="23">
        <v>19.82</v>
      </c>
      <c r="S14" s="23">
        <v>19.82</v>
      </c>
      <c r="T14" s="23">
        <v>1.75</v>
      </c>
      <c r="U14" s="47">
        <f>8.8</f>
        <v>8.8000000000000007</v>
      </c>
    </row>
    <row r="15" spans="1:22" ht="14.25" customHeight="1" thickTop="1" thickBot="1" x14ac:dyDescent="0.25">
      <c r="B15" s="4" t="s">
        <v>92</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32" t="s">
        <v>33</v>
      </c>
      <c r="T16" s="32" t="s">
        <v>93</v>
      </c>
      <c r="U16" s="18" t="s">
        <v>94</v>
      </c>
    </row>
    <row r="17" spans="2:21" ht="26.25" customHeight="1" thickBot="1" x14ac:dyDescent="0.25">
      <c r="B17" s="33"/>
      <c r="C17" s="34"/>
      <c r="D17" s="34"/>
      <c r="E17" s="34"/>
      <c r="F17" s="34"/>
      <c r="G17" s="34"/>
      <c r="H17" s="35"/>
      <c r="I17" s="35"/>
      <c r="J17" s="35"/>
      <c r="K17" s="35"/>
      <c r="L17" s="35"/>
      <c r="M17" s="35"/>
      <c r="N17" s="35"/>
      <c r="O17" s="35"/>
      <c r="P17" s="35"/>
      <c r="Q17" s="35"/>
      <c r="R17" s="35"/>
      <c r="S17" s="36" t="s">
        <v>95</v>
      </c>
      <c r="T17" s="37" t="s">
        <v>95</v>
      </c>
      <c r="U17" s="37" t="s">
        <v>96</v>
      </c>
    </row>
    <row r="18" spans="2:21" ht="13.5" customHeight="1" thickBot="1" x14ac:dyDescent="0.25">
      <c r="B18" s="88" t="s">
        <v>97</v>
      </c>
      <c r="C18" s="89"/>
      <c r="D18" s="89"/>
      <c r="E18" s="38"/>
      <c r="F18" s="38"/>
      <c r="G18" s="38"/>
      <c r="H18" s="39"/>
      <c r="I18" s="39"/>
      <c r="J18" s="39"/>
      <c r="K18" s="39"/>
      <c r="L18" s="39"/>
      <c r="M18" s="39"/>
      <c r="N18" s="39"/>
      <c r="O18" s="39"/>
      <c r="P18" s="40"/>
      <c r="Q18" s="40"/>
      <c r="R18" s="40"/>
      <c r="S18" s="48">
        <v>94.5</v>
      </c>
      <c r="T18" s="48">
        <v>94.298250899999999</v>
      </c>
      <c r="U18" s="49">
        <f>+IF(ISERR(T18/S18*100),"N/A",ROUND(T18/S18*100,1))</f>
        <v>99.8</v>
      </c>
    </row>
    <row r="19" spans="2:21" ht="13.5" customHeight="1" thickBot="1" x14ac:dyDescent="0.25">
      <c r="B19" s="90" t="s">
        <v>98</v>
      </c>
      <c r="C19" s="91"/>
      <c r="D19" s="91"/>
      <c r="E19" s="41"/>
      <c r="F19" s="41"/>
      <c r="G19" s="41"/>
      <c r="H19" s="42"/>
      <c r="I19" s="42"/>
      <c r="J19" s="42"/>
      <c r="K19" s="42"/>
      <c r="L19" s="42"/>
      <c r="M19" s="42"/>
      <c r="N19" s="42"/>
      <c r="O19" s="42"/>
      <c r="P19" s="43"/>
      <c r="Q19" s="43"/>
      <c r="R19" s="43"/>
      <c r="S19" s="48">
        <v>94.298250899999999</v>
      </c>
      <c r="T19" s="48">
        <v>94.298250899999999</v>
      </c>
      <c r="U19" s="49">
        <f>+IF(ISERR(T19/S19*100),"N/A",ROUND(T19/S19*100,1))</f>
        <v>100</v>
      </c>
    </row>
    <row r="20" spans="2:21" ht="14.85" customHeight="1" thickTop="1" thickBot="1" x14ac:dyDescent="0.25">
      <c r="B20" s="4" t="s">
        <v>99</v>
      </c>
      <c r="C20" s="5"/>
      <c r="D20" s="5"/>
      <c r="E20" s="5"/>
      <c r="F20" s="5"/>
      <c r="G20" s="5"/>
      <c r="H20" s="6"/>
      <c r="I20" s="6"/>
      <c r="J20" s="6"/>
      <c r="K20" s="6"/>
      <c r="L20" s="6"/>
      <c r="M20" s="6"/>
      <c r="N20" s="6"/>
      <c r="O20" s="6"/>
      <c r="P20" s="6"/>
      <c r="Q20" s="6"/>
      <c r="R20" s="6"/>
      <c r="S20" s="6"/>
      <c r="T20" s="6"/>
      <c r="U20" s="7"/>
    </row>
    <row r="21" spans="2:21" ht="44.25" customHeight="1" thickTop="1" x14ac:dyDescent="0.2">
      <c r="B21" s="92" t="s">
        <v>100</v>
      </c>
      <c r="C21" s="93"/>
      <c r="D21" s="93"/>
      <c r="E21" s="93"/>
      <c r="F21" s="93"/>
      <c r="G21" s="93"/>
      <c r="H21" s="93"/>
      <c r="I21" s="93"/>
      <c r="J21" s="93"/>
      <c r="K21" s="93"/>
      <c r="L21" s="93"/>
      <c r="M21" s="93"/>
      <c r="N21" s="93"/>
      <c r="O21" s="93"/>
      <c r="P21" s="93"/>
      <c r="Q21" s="93"/>
      <c r="R21" s="93"/>
      <c r="S21" s="93"/>
      <c r="T21" s="93"/>
      <c r="U21" s="94"/>
    </row>
    <row r="22" spans="2:21" ht="75" customHeight="1" x14ac:dyDescent="0.2">
      <c r="B22" s="85" t="s">
        <v>633</v>
      </c>
      <c r="C22" s="86"/>
      <c r="D22" s="86"/>
      <c r="E22" s="86"/>
      <c r="F22" s="86"/>
      <c r="G22" s="86"/>
      <c r="H22" s="86"/>
      <c r="I22" s="86"/>
      <c r="J22" s="86"/>
      <c r="K22" s="86"/>
      <c r="L22" s="86"/>
      <c r="M22" s="86"/>
      <c r="N22" s="86"/>
      <c r="O22" s="86"/>
      <c r="P22" s="86"/>
      <c r="Q22" s="86"/>
      <c r="R22" s="86"/>
      <c r="S22" s="86"/>
      <c r="T22" s="86"/>
      <c r="U22" s="87"/>
    </row>
    <row r="23" spans="2:21" ht="40.5" customHeight="1" x14ac:dyDescent="0.2">
      <c r="B23" s="85" t="s">
        <v>634</v>
      </c>
      <c r="C23" s="86"/>
      <c r="D23" s="86"/>
      <c r="E23" s="86"/>
      <c r="F23" s="86"/>
      <c r="G23" s="86"/>
      <c r="H23" s="86"/>
      <c r="I23" s="86"/>
      <c r="J23" s="86"/>
      <c r="K23" s="86"/>
      <c r="L23" s="86"/>
      <c r="M23" s="86"/>
      <c r="N23" s="86"/>
      <c r="O23" s="86"/>
      <c r="P23" s="86"/>
      <c r="Q23" s="86"/>
      <c r="R23" s="86"/>
      <c r="S23" s="86"/>
      <c r="T23" s="86"/>
      <c r="U23" s="87"/>
    </row>
    <row r="24" spans="2:21" ht="70.5" customHeight="1" x14ac:dyDescent="0.2">
      <c r="B24" s="85" t="s">
        <v>635</v>
      </c>
      <c r="C24" s="86"/>
      <c r="D24" s="86"/>
      <c r="E24" s="86"/>
      <c r="F24" s="86"/>
      <c r="G24" s="86"/>
      <c r="H24" s="86"/>
      <c r="I24" s="86"/>
      <c r="J24" s="86"/>
      <c r="K24" s="86"/>
      <c r="L24" s="86"/>
      <c r="M24" s="86"/>
      <c r="N24" s="86"/>
      <c r="O24" s="86"/>
      <c r="P24" s="86"/>
      <c r="Q24" s="86"/>
      <c r="R24" s="86"/>
      <c r="S24" s="86"/>
      <c r="T24" s="86"/>
      <c r="U24" s="87"/>
    </row>
    <row r="25" spans="2:21" ht="67.5" customHeight="1" thickBot="1" x14ac:dyDescent="0.25">
      <c r="B25" s="95" t="s">
        <v>636</v>
      </c>
      <c r="C25" s="96"/>
      <c r="D25" s="96"/>
      <c r="E25" s="96"/>
      <c r="F25" s="96"/>
      <c r="G25" s="96"/>
      <c r="H25" s="96"/>
      <c r="I25" s="96"/>
      <c r="J25" s="96"/>
      <c r="K25" s="96"/>
      <c r="L25" s="96"/>
      <c r="M25" s="96"/>
      <c r="N25" s="96"/>
      <c r="O25" s="96"/>
      <c r="P25" s="96"/>
      <c r="Q25" s="96"/>
      <c r="R25" s="96"/>
      <c r="S25" s="96"/>
      <c r="T25" s="96"/>
      <c r="U25" s="97"/>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1"/>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637</v>
      </c>
      <c r="D4" s="57" t="s">
        <v>638</v>
      </c>
      <c r="E4" s="57"/>
      <c r="F4" s="57"/>
      <c r="G4" s="57"/>
      <c r="H4" s="57"/>
      <c r="I4" s="10"/>
      <c r="J4" s="11" t="s">
        <v>9</v>
      </c>
      <c r="K4" s="12" t="s">
        <v>10</v>
      </c>
      <c r="L4" s="58" t="s">
        <v>11</v>
      </c>
      <c r="M4" s="58"/>
      <c r="N4" s="58"/>
      <c r="O4" s="58"/>
      <c r="P4" s="11" t="s">
        <v>12</v>
      </c>
      <c r="Q4" s="58" t="s">
        <v>403</v>
      </c>
      <c r="R4" s="58"/>
      <c r="S4" s="11" t="s">
        <v>14</v>
      </c>
      <c r="T4" s="58" t="s">
        <v>196</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228</v>
      </c>
      <c r="D6" s="60"/>
      <c r="E6" s="60"/>
      <c r="F6" s="60"/>
      <c r="G6" s="60"/>
      <c r="H6" s="14"/>
      <c r="I6" s="14"/>
      <c r="J6" s="14" t="s">
        <v>18</v>
      </c>
      <c r="K6" s="60" t="s">
        <v>404</v>
      </c>
      <c r="L6" s="60"/>
      <c r="M6" s="60"/>
      <c r="N6" s="15"/>
      <c r="O6" s="16" t="s">
        <v>20</v>
      </c>
      <c r="P6" s="60" t="s">
        <v>405</v>
      </c>
      <c r="Q6" s="60"/>
      <c r="R6" s="17"/>
      <c r="S6" s="16" t="s">
        <v>22</v>
      </c>
      <c r="T6" s="60" t="s">
        <v>406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129.75" customHeight="1" thickTop="1" thickBot="1" x14ac:dyDescent="0.25">
      <c r="A11" s="21"/>
      <c r="B11" s="22" t="s">
        <v>38</v>
      </c>
      <c r="C11" s="83" t="s">
        <v>639</v>
      </c>
      <c r="D11" s="83"/>
      <c r="E11" s="83"/>
      <c r="F11" s="83"/>
      <c r="G11" s="83"/>
      <c r="H11" s="83"/>
      <c r="I11" s="83" t="s">
        <v>640</v>
      </c>
      <c r="J11" s="83"/>
      <c r="K11" s="83"/>
      <c r="L11" s="83" t="s">
        <v>641</v>
      </c>
      <c r="M11" s="83"/>
      <c r="N11" s="83"/>
      <c r="O11" s="83"/>
      <c r="P11" s="23" t="s">
        <v>42</v>
      </c>
      <c r="Q11" s="23" t="s">
        <v>545</v>
      </c>
      <c r="R11" s="23" t="s">
        <v>123</v>
      </c>
      <c r="S11" s="23" t="s">
        <v>123</v>
      </c>
      <c r="T11" s="23">
        <v>0</v>
      </c>
      <c r="U11" s="47">
        <f>0</f>
        <v>0</v>
      </c>
    </row>
    <row r="12" spans="1:21" ht="150" customHeight="1" thickTop="1" thickBot="1" x14ac:dyDescent="0.25">
      <c r="A12" s="21"/>
      <c r="B12" s="22" t="s">
        <v>44</v>
      </c>
      <c r="C12" s="83" t="s">
        <v>642</v>
      </c>
      <c r="D12" s="83"/>
      <c r="E12" s="83"/>
      <c r="F12" s="83"/>
      <c r="G12" s="83"/>
      <c r="H12" s="83"/>
      <c r="I12" s="83" t="s">
        <v>643</v>
      </c>
      <c r="J12" s="83"/>
      <c r="K12" s="83"/>
      <c r="L12" s="83" t="s">
        <v>644</v>
      </c>
      <c r="M12" s="83"/>
      <c r="N12" s="83"/>
      <c r="O12" s="83"/>
      <c r="P12" s="23" t="s">
        <v>42</v>
      </c>
      <c r="Q12" s="23" t="s">
        <v>43</v>
      </c>
      <c r="R12" s="23">
        <v>19.46</v>
      </c>
      <c r="S12" s="23">
        <v>19.46</v>
      </c>
      <c r="T12" s="23">
        <v>68.650000000000006</v>
      </c>
      <c r="U12" s="47">
        <f>352.77</f>
        <v>352.77</v>
      </c>
    </row>
    <row r="13" spans="1:21" ht="102" customHeight="1" thickTop="1" x14ac:dyDescent="0.2">
      <c r="A13" s="21"/>
      <c r="B13" s="22" t="s">
        <v>49</v>
      </c>
      <c r="C13" s="83" t="s">
        <v>645</v>
      </c>
      <c r="D13" s="83"/>
      <c r="E13" s="83"/>
      <c r="F13" s="83"/>
      <c r="G13" s="83"/>
      <c r="H13" s="83"/>
      <c r="I13" s="83" t="s">
        <v>646</v>
      </c>
      <c r="J13" s="83"/>
      <c r="K13" s="83"/>
      <c r="L13" s="83" t="s">
        <v>647</v>
      </c>
      <c r="M13" s="83"/>
      <c r="N13" s="83"/>
      <c r="O13" s="83"/>
      <c r="P13" s="23" t="s">
        <v>42</v>
      </c>
      <c r="Q13" s="23" t="s">
        <v>48</v>
      </c>
      <c r="R13" s="23">
        <v>6.57</v>
      </c>
      <c r="S13" s="23">
        <v>9.3000000000000007</v>
      </c>
      <c r="T13" s="23">
        <v>11.27</v>
      </c>
      <c r="U13" s="47">
        <f>121.18</f>
        <v>121.18</v>
      </c>
    </row>
    <row r="14" spans="1:21" ht="108" customHeight="1" x14ac:dyDescent="0.2">
      <c r="A14" s="21"/>
      <c r="B14" s="24" t="s">
        <v>54</v>
      </c>
      <c r="C14" s="84" t="s">
        <v>648</v>
      </c>
      <c r="D14" s="84"/>
      <c r="E14" s="84"/>
      <c r="F14" s="84"/>
      <c r="G14" s="84"/>
      <c r="H14" s="84"/>
      <c r="I14" s="84" t="s">
        <v>649</v>
      </c>
      <c r="J14" s="84"/>
      <c r="K14" s="84"/>
      <c r="L14" s="84" t="s">
        <v>650</v>
      </c>
      <c r="M14" s="84"/>
      <c r="N14" s="84"/>
      <c r="O14" s="84"/>
      <c r="P14" s="25" t="s">
        <v>42</v>
      </c>
      <c r="Q14" s="25" t="s">
        <v>48</v>
      </c>
      <c r="R14" s="25">
        <v>37.5</v>
      </c>
      <c r="S14" s="25">
        <v>37.5</v>
      </c>
      <c r="T14" s="25">
        <v>25</v>
      </c>
      <c r="U14" s="26">
        <f>66.67</f>
        <v>66.67</v>
      </c>
    </row>
    <row r="15" spans="1:21" ht="75" customHeight="1" thickBot="1" x14ac:dyDescent="0.25">
      <c r="A15" s="21"/>
      <c r="B15" s="24" t="s">
        <v>54</v>
      </c>
      <c r="C15" s="84" t="s">
        <v>651</v>
      </c>
      <c r="D15" s="84"/>
      <c r="E15" s="84"/>
      <c r="F15" s="84"/>
      <c r="G15" s="84"/>
      <c r="H15" s="84"/>
      <c r="I15" s="84" t="s">
        <v>652</v>
      </c>
      <c r="J15" s="84"/>
      <c r="K15" s="84"/>
      <c r="L15" s="84" t="s">
        <v>653</v>
      </c>
      <c r="M15" s="84"/>
      <c r="N15" s="84"/>
      <c r="O15" s="84"/>
      <c r="P15" s="25" t="s">
        <v>42</v>
      </c>
      <c r="Q15" s="25" t="s">
        <v>48</v>
      </c>
      <c r="R15" s="25">
        <v>50</v>
      </c>
      <c r="S15" s="25">
        <v>71.010000000000005</v>
      </c>
      <c r="T15" s="25">
        <v>102.37</v>
      </c>
      <c r="U15" s="26">
        <f>144.16</f>
        <v>144.16</v>
      </c>
    </row>
    <row r="16" spans="1:21" ht="75" customHeight="1" thickTop="1" x14ac:dyDescent="0.2">
      <c r="A16" s="21"/>
      <c r="B16" s="22" t="s">
        <v>63</v>
      </c>
      <c r="C16" s="83" t="s">
        <v>654</v>
      </c>
      <c r="D16" s="83"/>
      <c r="E16" s="83"/>
      <c r="F16" s="83"/>
      <c r="G16" s="83"/>
      <c r="H16" s="83"/>
      <c r="I16" s="83" t="s">
        <v>655</v>
      </c>
      <c r="J16" s="83"/>
      <c r="K16" s="83"/>
      <c r="L16" s="83" t="s">
        <v>656</v>
      </c>
      <c r="M16" s="83"/>
      <c r="N16" s="83"/>
      <c r="O16" s="83"/>
      <c r="P16" s="23" t="s">
        <v>42</v>
      </c>
      <c r="Q16" s="23" t="s">
        <v>74</v>
      </c>
      <c r="R16" s="23">
        <v>90</v>
      </c>
      <c r="S16" s="23">
        <v>60</v>
      </c>
      <c r="T16" s="23">
        <v>60</v>
      </c>
      <c r="U16" s="47">
        <f>100</f>
        <v>100</v>
      </c>
    </row>
    <row r="17" spans="1:22" ht="75" customHeight="1" x14ac:dyDescent="0.2">
      <c r="A17" s="21"/>
      <c r="B17" s="24" t="s">
        <v>54</v>
      </c>
      <c r="C17" s="84" t="s">
        <v>657</v>
      </c>
      <c r="D17" s="84"/>
      <c r="E17" s="84"/>
      <c r="F17" s="84"/>
      <c r="G17" s="84"/>
      <c r="H17" s="84"/>
      <c r="I17" s="84" t="s">
        <v>658</v>
      </c>
      <c r="J17" s="84"/>
      <c r="K17" s="84"/>
      <c r="L17" s="84" t="s">
        <v>659</v>
      </c>
      <c r="M17" s="84"/>
      <c r="N17" s="84"/>
      <c r="O17" s="84"/>
      <c r="P17" s="25" t="s">
        <v>42</v>
      </c>
      <c r="Q17" s="25" t="s">
        <v>84</v>
      </c>
      <c r="R17" s="25">
        <v>70</v>
      </c>
      <c r="S17" s="25">
        <v>66</v>
      </c>
      <c r="T17" s="25">
        <v>80</v>
      </c>
      <c r="U17" s="26">
        <f>121.21</f>
        <v>121.21</v>
      </c>
    </row>
    <row r="18" spans="1:22" ht="109.5" customHeight="1" x14ac:dyDescent="0.2">
      <c r="A18" s="21"/>
      <c r="B18" s="24" t="s">
        <v>54</v>
      </c>
      <c r="C18" s="84" t="s">
        <v>660</v>
      </c>
      <c r="D18" s="84"/>
      <c r="E18" s="84"/>
      <c r="F18" s="84"/>
      <c r="G18" s="84"/>
      <c r="H18" s="84"/>
      <c r="I18" s="84" t="s">
        <v>661</v>
      </c>
      <c r="J18" s="84"/>
      <c r="K18" s="84"/>
      <c r="L18" s="84" t="s">
        <v>662</v>
      </c>
      <c r="M18" s="84"/>
      <c r="N18" s="84"/>
      <c r="O18" s="84"/>
      <c r="P18" s="25" t="s">
        <v>42</v>
      </c>
      <c r="Q18" s="25" t="s">
        <v>74</v>
      </c>
      <c r="R18" s="25">
        <v>70</v>
      </c>
      <c r="S18" s="25">
        <v>90.91</v>
      </c>
      <c r="T18" s="25">
        <v>11.11</v>
      </c>
      <c r="U18" s="26">
        <f>12.22</f>
        <v>12.22</v>
      </c>
    </row>
    <row r="19" spans="1:22" ht="109.5" customHeight="1" x14ac:dyDescent="0.2">
      <c r="A19" s="21"/>
      <c r="B19" s="24" t="s">
        <v>54</v>
      </c>
      <c r="C19" s="84" t="s">
        <v>663</v>
      </c>
      <c r="D19" s="84"/>
      <c r="E19" s="84"/>
      <c r="F19" s="84"/>
      <c r="G19" s="84"/>
      <c r="H19" s="84"/>
      <c r="I19" s="84" t="s">
        <v>664</v>
      </c>
      <c r="J19" s="84"/>
      <c r="K19" s="84"/>
      <c r="L19" s="84" t="s">
        <v>665</v>
      </c>
      <c r="M19" s="84"/>
      <c r="N19" s="84"/>
      <c r="O19" s="84"/>
      <c r="P19" s="25" t="s">
        <v>42</v>
      </c>
      <c r="Q19" s="25" t="s">
        <v>74</v>
      </c>
      <c r="R19" s="25">
        <v>70</v>
      </c>
      <c r="S19" s="25">
        <v>70.709999999999994</v>
      </c>
      <c r="T19" s="25">
        <v>101.01</v>
      </c>
      <c r="U19" s="26">
        <f>142.85</f>
        <v>142.85</v>
      </c>
    </row>
    <row r="20" spans="1:22" ht="90.75" customHeight="1" x14ac:dyDescent="0.2">
      <c r="A20" s="21"/>
      <c r="B20" s="24" t="s">
        <v>54</v>
      </c>
      <c r="C20" s="84" t="s">
        <v>666</v>
      </c>
      <c r="D20" s="84"/>
      <c r="E20" s="84"/>
      <c r="F20" s="84"/>
      <c r="G20" s="84"/>
      <c r="H20" s="84"/>
      <c r="I20" s="84" t="s">
        <v>667</v>
      </c>
      <c r="J20" s="84"/>
      <c r="K20" s="84"/>
      <c r="L20" s="84" t="s">
        <v>668</v>
      </c>
      <c r="M20" s="84"/>
      <c r="N20" s="84"/>
      <c r="O20" s="84"/>
      <c r="P20" s="25" t="s">
        <v>42</v>
      </c>
      <c r="Q20" s="25" t="s">
        <v>74</v>
      </c>
      <c r="R20" s="25">
        <v>70.83</v>
      </c>
      <c r="S20" s="25">
        <v>70.83</v>
      </c>
      <c r="T20" s="25">
        <v>37.5</v>
      </c>
      <c r="U20" s="26">
        <f>52.94</f>
        <v>52.94</v>
      </c>
    </row>
    <row r="21" spans="1:22" ht="75" customHeight="1" x14ac:dyDescent="0.2">
      <c r="A21" s="21"/>
      <c r="B21" s="24" t="s">
        <v>54</v>
      </c>
      <c r="C21" s="84" t="s">
        <v>669</v>
      </c>
      <c r="D21" s="84"/>
      <c r="E21" s="84"/>
      <c r="F21" s="84"/>
      <c r="G21" s="84"/>
      <c r="H21" s="84"/>
      <c r="I21" s="84" t="s">
        <v>670</v>
      </c>
      <c r="J21" s="84"/>
      <c r="K21" s="84"/>
      <c r="L21" s="84" t="s">
        <v>671</v>
      </c>
      <c r="M21" s="84"/>
      <c r="N21" s="84"/>
      <c r="O21" s="84"/>
      <c r="P21" s="25" t="s">
        <v>42</v>
      </c>
      <c r="Q21" s="25" t="s">
        <v>74</v>
      </c>
      <c r="R21" s="25">
        <v>70.59</v>
      </c>
      <c r="S21" s="25">
        <v>70.59</v>
      </c>
      <c r="T21" s="25">
        <v>61.76</v>
      </c>
      <c r="U21" s="26">
        <f>87.49</f>
        <v>87.49</v>
      </c>
    </row>
    <row r="22" spans="1:22" ht="75" customHeight="1" x14ac:dyDescent="0.2">
      <c r="A22" s="21"/>
      <c r="B22" s="24" t="s">
        <v>54</v>
      </c>
      <c r="C22" s="84" t="s">
        <v>672</v>
      </c>
      <c r="D22" s="84"/>
      <c r="E22" s="84"/>
      <c r="F22" s="84"/>
      <c r="G22" s="84"/>
      <c r="H22" s="84"/>
      <c r="I22" s="84" t="s">
        <v>673</v>
      </c>
      <c r="J22" s="84"/>
      <c r="K22" s="84"/>
      <c r="L22" s="84" t="s">
        <v>674</v>
      </c>
      <c r="M22" s="84"/>
      <c r="N22" s="84"/>
      <c r="O22" s="84"/>
      <c r="P22" s="25" t="s">
        <v>42</v>
      </c>
      <c r="Q22" s="25" t="s">
        <v>74</v>
      </c>
      <c r="R22" s="25">
        <v>73.53</v>
      </c>
      <c r="S22" s="25">
        <v>73.53</v>
      </c>
      <c r="T22" s="25">
        <v>41.18</v>
      </c>
      <c r="U22" s="26">
        <f>56</f>
        <v>56</v>
      </c>
    </row>
    <row r="23" spans="1:22" ht="75" customHeight="1" x14ac:dyDescent="0.2">
      <c r="A23" s="21"/>
      <c r="B23" s="24" t="s">
        <v>54</v>
      </c>
      <c r="C23" s="84" t="s">
        <v>675</v>
      </c>
      <c r="D23" s="84"/>
      <c r="E23" s="84"/>
      <c r="F23" s="84"/>
      <c r="G23" s="84"/>
      <c r="H23" s="84"/>
      <c r="I23" s="84" t="s">
        <v>676</v>
      </c>
      <c r="J23" s="84"/>
      <c r="K23" s="84"/>
      <c r="L23" s="84" t="s">
        <v>677</v>
      </c>
      <c r="M23" s="84"/>
      <c r="N23" s="84"/>
      <c r="O23" s="84"/>
      <c r="P23" s="25" t="s">
        <v>42</v>
      </c>
      <c r="Q23" s="25" t="s">
        <v>74</v>
      </c>
      <c r="R23" s="25">
        <v>79.17</v>
      </c>
      <c r="S23" s="25">
        <v>79.17</v>
      </c>
      <c r="T23" s="25">
        <v>75</v>
      </c>
      <c r="U23" s="26">
        <f>94.73</f>
        <v>94.73</v>
      </c>
    </row>
    <row r="24" spans="1:22" ht="75" customHeight="1" x14ac:dyDescent="0.2">
      <c r="A24" s="21"/>
      <c r="B24" s="24" t="s">
        <v>54</v>
      </c>
      <c r="C24" s="84" t="s">
        <v>678</v>
      </c>
      <c r="D24" s="84"/>
      <c r="E24" s="84"/>
      <c r="F24" s="84"/>
      <c r="G24" s="84"/>
      <c r="H24" s="84"/>
      <c r="I24" s="84" t="s">
        <v>679</v>
      </c>
      <c r="J24" s="84"/>
      <c r="K24" s="84"/>
      <c r="L24" s="84" t="s">
        <v>680</v>
      </c>
      <c r="M24" s="84"/>
      <c r="N24" s="84"/>
      <c r="O24" s="84"/>
      <c r="P24" s="25" t="s">
        <v>42</v>
      </c>
      <c r="Q24" s="25" t="s">
        <v>74</v>
      </c>
      <c r="R24" s="25">
        <v>90</v>
      </c>
      <c r="S24" s="25">
        <v>66.67</v>
      </c>
      <c r="T24" s="25">
        <v>72.67</v>
      </c>
      <c r="U24" s="26">
        <f>109</f>
        <v>109</v>
      </c>
    </row>
    <row r="25" spans="1:22" ht="75" customHeight="1" x14ac:dyDescent="0.2">
      <c r="A25" s="21"/>
      <c r="B25" s="24" t="s">
        <v>54</v>
      </c>
      <c r="C25" s="84" t="s">
        <v>681</v>
      </c>
      <c r="D25" s="84"/>
      <c r="E25" s="84"/>
      <c r="F25" s="84"/>
      <c r="G25" s="84"/>
      <c r="H25" s="84"/>
      <c r="I25" s="84" t="s">
        <v>682</v>
      </c>
      <c r="J25" s="84"/>
      <c r="K25" s="84"/>
      <c r="L25" s="84" t="s">
        <v>683</v>
      </c>
      <c r="M25" s="84"/>
      <c r="N25" s="84"/>
      <c r="O25" s="84"/>
      <c r="P25" s="25" t="s">
        <v>42</v>
      </c>
      <c r="Q25" s="25" t="s">
        <v>74</v>
      </c>
      <c r="R25" s="25">
        <v>45.45</v>
      </c>
      <c r="S25" s="25">
        <v>56.33</v>
      </c>
      <c r="T25" s="25">
        <v>57.67</v>
      </c>
      <c r="U25" s="26">
        <f>102.38</f>
        <v>102.38</v>
      </c>
    </row>
    <row r="26" spans="1:22" ht="75" customHeight="1" x14ac:dyDescent="0.2">
      <c r="A26" s="21"/>
      <c r="B26" s="24" t="s">
        <v>54</v>
      </c>
      <c r="C26" s="84" t="s">
        <v>684</v>
      </c>
      <c r="D26" s="84"/>
      <c r="E26" s="84"/>
      <c r="F26" s="84"/>
      <c r="G26" s="84"/>
      <c r="H26" s="84"/>
      <c r="I26" s="84" t="s">
        <v>685</v>
      </c>
      <c r="J26" s="84"/>
      <c r="K26" s="84"/>
      <c r="L26" s="84" t="s">
        <v>686</v>
      </c>
      <c r="M26" s="84"/>
      <c r="N26" s="84"/>
      <c r="O26" s="84"/>
      <c r="P26" s="25" t="s">
        <v>42</v>
      </c>
      <c r="Q26" s="25" t="s">
        <v>74</v>
      </c>
      <c r="R26" s="25">
        <v>70</v>
      </c>
      <c r="S26" s="25">
        <v>71.010000000000005</v>
      </c>
      <c r="T26" s="25">
        <v>20.12</v>
      </c>
      <c r="U26" s="26">
        <f>28.33</f>
        <v>28.33</v>
      </c>
    </row>
    <row r="27" spans="1:22" ht="75" customHeight="1" thickBot="1" x14ac:dyDescent="0.25">
      <c r="A27" s="21"/>
      <c r="B27" s="24" t="s">
        <v>54</v>
      </c>
      <c r="C27" s="84" t="s">
        <v>687</v>
      </c>
      <c r="D27" s="84"/>
      <c r="E27" s="84"/>
      <c r="F27" s="84"/>
      <c r="G27" s="84"/>
      <c r="H27" s="84"/>
      <c r="I27" s="84" t="s">
        <v>688</v>
      </c>
      <c r="J27" s="84"/>
      <c r="K27" s="84"/>
      <c r="L27" s="84" t="s">
        <v>689</v>
      </c>
      <c r="M27" s="84"/>
      <c r="N27" s="84"/>
      <c r="O27" s="84"/>
      <c r="P27" s="25" t="s">
        <v>42</v>
      </c>
      <c r="Q27" s="25" t="s">
        <v>74</v>
      </c>
      <c r="R27" s="25">
        <v>70</v>
      </c>
      <c r="S27" s="25">
        <v>71.010000000000005</v>
      </c>
      <c r="T27" s="25">
        <v>85.8</v>
      </c>
      <c r="U27" s="26">
        <f>120.83</f>
        <v>120.83</v>
      </c>
    </row>
    <row r="28" spans="1:22" ht="14.25" customHeight="1" thickTop="1" thickBot="1" x14ac:dyDescent="0.25">
      <c r="B28" s="4" t="s">
        <v>92</v>
      </c>
      <c r="C28" s="5"/>
      <c r="D28" s="5"/>
      <c r="E28" s="5"/>
      <c r="F28" s="5"/>
      <c r="G28" s="5"/>
      <c r="H28" s="6"/>
      <c r="I28" s="6"/>
      <c r="J28" s="6"/>
      <c r="K28" s="6"/>
      <c r="L28" s="6"/>
      <c r="M28" s="6"/>
      <c r="N28" s="6"/>
      <c r="O28" s="6"/>
      <c r="P28" s="6"/>
      <c r="Q28" s="6"/>
      <c r="R28" s="6"/>
      <c r="S28" s="6"/>
      <c r="T28" s="6"/>
      <c r="U28" s="7"/>
      <c r="V28" s="27"/>
    </row>
    <row r="29" spans="1:22" ht="26.25" customHeight="1" thickTop="1" x14ac:dyDescent="0.2">
      <c r="B29" s="28"/>
      <c r="C29" s="29"/>
      <c r="D29" s="29"/>
      <c r="E29" s="29"/>
      <c r="F29" s="29"/>
      <c r="G29" s="29"/>
      <c r="H29" s="30"/>
      <c r="I29" s="30"/>
      <c r="J29" s="30"/>
      <c r="K29" s="30"/>
      <c r="L29" s="30"/>
      <c r="M29" s="30"/>
      <c r="N29" s="30"/>
      <c r="O29" s="30"/>
      <c r="P29" s="30"/>
      <c r="Q29" s="30"/>
      <c r="R29" s="31"/>
      <c r="S29" s="32" t="s">
        <v>33</v>
      </c>
      <c r="T29" s="32" t="s">
        <v>93</v>
      </c>
      <c r="U29" s="18" t="s">
        <v>94</v>
      </c>
    </row>
    <row r="30" spans="1:22" ht="26.25" customHeight="1" thickBot="1" x14ac:dyDescent="0.25">
      <c r="B30" s="33"/>
      <c r="C30" s="34"/>
      <c r="D30" s="34"/>
      <c r="E30" s="34"/>
      <c r="F30" s="34"/>
      <c r="G30" s="34"/>
      <c r="H30" s="35"/>
      <c r="I30" s="35"/>
      <c r="J30" s="35"/>
      <c r="K30" s="35"/>
      <c r="L30" s="35"/>
      <c r="M30" s="35"/>
      <c r="N30" s="35"/>
      <c r="O30" s="35"/>
      <c r="P30" s="35"/>
      <c r="Q30" s="35"/>
      <c r="R30" s="35"/>
      <c r="S30" s="36" t="s">
        <v>95</v>
      </c>
      <c r="T30" s="37" t="s">
        <v>95</v>
      </c>
      <c r="U30" s="37" t="s">
        <v>96</v>
      </c>
    </row>
    <row r="31" spans="1:22" ht="13.5" customHeight="1" thickBot="1" x14ac:dyDescent="0.25">
      <c r="B31" s="88" t="s">
        <v>97</v>
      </c>
      <c r="C31" s="89"/>
      <c r="D31" s="89"/>
      <c r="E31" s="38"/>
      <c r="F31" s="38"/>
      <c r="G31" s="38"/>
      <c r="H31" s="39"/>
      <c r="I31" s="39"/>
      <c r="J31" s="39"/>
      <c r="K31" s="39"/>
      <c r="L31" s="39"/>
      <c r="M31" s="39"/>
      <c r="N31" s="39"/>
      <c r="O31" s="39"/>
      <c r="P31" s="40"/>
      <c r="Q31" s="40"/>
      <c r="R31" s="40"/>
      <c r="S31" s="48">
        <v>122.8</v>
      </c>
      <c r="T31" s="48">
        <v>113.18615633</v>
      </c>
      <c r="U31" s="49">
        <f>+IF(ISERR(T31/S31*100),"N/A",ROUND(T31/S31*100,1))</f>
        <v>92.2</v>
      </c>
    </row>
    <row r="32" spans="1:22" ht="13.5" customHeight="1" thickBot="1" x14ac:dyDescent="0.25">
      <c r="B32" s="90" t="s">
        <v>98</v>
      </c>
      <c r="C32" s="91"/>
      <c r="D32" s="91"/>
      <c r="E32" s="41"/>
      <c r="F32" s="41"/>
      <c r="G32" s="41"/>
      <c r="H32" s="42"/>
      <c r="I32" s="42"/>
      <c r="J32" s="42"/>
      <c r="K32" s="42"/>
      <c r="L32" s="42"/>
      <c r="M32" s="42"/>
      <c r="N32" s="42"/>
      <c r="O32" s="42"/>
      <c r="P32" s="43"/>
      <c r="Q32" s="43"/>
      <c r="R32" s="43"/>
      <c r="S32" s="48">
        <v>113.18615633000002</v>
      </c>
      <c r="T32" s="48">
        <v>113.18615633</v>
      </c>
      <c r="U32" s="49">
        <f>+IF(ISERR(T32/S32*100),"N/A",ROUND(T32/S32*100,1))</f>
        <v>100</v>
      </c>
    </row>
    <row r="33" spans="2:21" ht="14.85" customHeight="1" thickTop="1" thickBot="1" x14ac:dyDescent="0.25">
      <c r="B33" s="4" t="s">
        <v>99</v>
      </c>
      <c r="C33" s="5"/>
      <c r="D33" s="5"/>
      <c r="E33" s="5"/>
      <c r="F33" s="5"/>
      <c r="G33" s="5"/>
      <c r="H33" s="6"/>
      <c r="I33" s="6"/>
      <c r="J33" s="6"/>
      <c r="K33" s="6"/>
      <c r="L33" s="6"/>
      <c r="M33" s="6"/>
      <c r="N33" s="6"/>
      <c r="O33" s="6"/>
      <c r="P33" s="6"/>
      <c r="Q33" s="6"/>
      <c r="R33" s="6"/>
      <c r="S33" s="6"/>
      <c r="T33" s="6"/>
      <c r="U33" s="7"/>
    </row>
    <row r="34" spans="2:21" ht="44.25" customHeight="1" thickTop="1" x14ac:dyDescent="0.2">
      <c r="B34" s="92" t="s">
        <v>100</v>
      </c>
      <c r="C34" s="93"/>
      <c r="D34" s="93"/>
      <c r="E34" s="93"/>
      <c r="F34" s="93"/>
      <c r="G34" s="93"/>
      <c r="H34" s="93"/>
      <c r="I34" s="93"/>
      <c r="J34" s="93"/>
      <c r="K34" s="93"/>
      <c r="L34" s="93"/>
      <c r="M34" s="93"/>
      <c r="N34" s="93"/>
      <c r="O34" s="93"/>
      <c r="P34" s="93"/>
      <c r="Q34" s="93"/>
      <c r="R34" s="93"/>
      <c r="S34" s="93"/>
      <c r="T34" s="93"/>
      <c r="U34" s="94"/>
    </row>
    <row r="35" spans="2:21" ht="60" customHeight="1" x14ac:dyDescent="0.2">
      <c r="B35" s="85" t="s">
        <v>690</v>
      </c>
      <c r="C35" s="86"/>
      <c r="D35" s="86"/>
      <c r="E35" s="86"/>
      <c r="F35" s="86"/>
      <c r="G35" s="86"/>
      <c r="H35" s="86"/>
      <c r="I35" s="86"/>
      <c r="J35" s="86"/>
      <c r="K35" s="86"/>
      <c r="L35" s="86"/>
      <c r="M35" s="86"/>
      <c r="N35" s="86"/>
      <c r="O35" s="86"/>
      <c r="P35" s="86"/>
      <c r="Q35" s="86"/>
      <c r="R35" s="86"/>
      <c r="S35" s="86"/>
      <c r="T35" s="86"/>
      <c r="U35" s="87"/>
    </row>
    <row r="36" spans="2:21" ht="49.5" customHeight="1" x14ac:dyDescent="0.2">
      <c r="B36" s="85" t="s">
        <v>691</v>
      </c>
      <c r="C36" s="86"/>
      <c r="D36" s="86"/>
      <c r="E36" s="86"/>
      <c r="F36" s="86"/>
      <c r="G36" s="86"/>
      <c r="H36" s="86"/>
      <c r="I36" s="86"/>
      <c r="J36" s="86"/>
      <c r="K36" s="86"/>
      <c r="L36" s="86"/>
      <c r="M36" s="86"/>
      <c r="N36" s="86"/>
      <c r="O36" s="86"/>
      <c r="P36" s="86"/>
      <c r="Q36" s="86"/>
      <c r="R36" s="86"/>
      <c r="S36" s="86"/>
      <c r="T36" s="86"/>
      <c r="U36" s="87"/>
    </row>
    <row r="37" spans="2:21" ht="45" customHeight="1" x14ac:dyDescent="0.2">
      <c r="B37" s="85" t="s">
        <v>692</v>
      </c>
      <c r="C37" s="86"/>
      <c r="D37" s="86"/>
      <c r="E37" s="86"/>
      <c r="F37" s="86"/>
      <c r="G37" s="86"/>
      <c r="H37" s="86"/>
      <c r="I37" s="86"/>
      <c r="J37" s="86"/>
      <c r="K37" s="86"/>
      <c r="L37" s="86"/>
      <c r="M37" s="86"/>
      <c r="N37" s="86"/>
      <c r="O37" s="86"/>
      <c r="P37" s="86"/>
      <c r="Q37" s="86"/>
      <c r="R37" s="86"/>
      <c r="S37" s="86"/>
      <c r="T37" s="86"/>
      <c r="U37" s="87"/>
    </row>
    <row r="38" spans="2:21" ht="52.5" customHeight="1" x14ac:dyDescent="0.2">
      <c r="B38" s="85" t="s">
        <v>693</v>
      </c>
      <c r="C38" s="86"/>
      <c r="D38" s="86"/>
      <c r="E38" s="86"/>
      <c r="F38" s="86"/>
      <c r="G38" s="86"/>
      <c r="H38" s="86"/>
      <c r="I38" s="86"/>
      <c r="J38" s="86"/>
      <c r="K38" s="86"/>
      <c r="L38" s="86"/>
      <c r="M38" s="86"/>
      <c r="N38" s="86"/>
      <c r="O38" s="86"/>
      <c r="P38" s="86"/>
      <c r="Q38" s="86"/>
      <c r="R38" s="86"/>
      <c r="S38" s="86"/>
      <c r="T38" s="86"/>
      <c r="U38" s="87"/>
    </row>
    <row r="39" spans="2:21" ht="58.5" customHeight="1" x14ac:dyDescent="0.2">
      <c r="B39" s="85" t="s">
        <v>694</v>
      </c>
      <c r="C39" s="86"/>
      <c r="D39" s="86"/>
      <c r="E39" s="86"/>
      <c r="F39" s="86"/>
      <c r="G39" s="86"/>
      <c r="H39" s="86"/>
      <c r="I39" s="86"/>
      <c r="J39" s="86"/>
      <c r="K39" s="86"/>
      <c r="L39" s="86"/>
      <c r="M39" s="86"/>
      <c r="N39" s="86"/>
      <c r="O39" s="86"/>
      <c r="P39" s="86"/>
      <c r="Q39" s="86"/>
      <c r="R39" s="86"/>
      <c r="S39" s="86"/>
      <c r="T39" s="86"/>
      <c r="U39" s="87"/>
    </row>
    <row r="40" spans="2:21" ht="54" customHeight="1" x14ac:dyDescent="0.2">
      <c r="B40" s="85" t="s">
        <v>695</v>
      </c>
      <c r="C40" s="86"/>
      <c r="D40" s="86"/>
      <c r="E40" s="86"/>
      <c r="F40" s="86"/>
      <c r="G40" s="86"/>
      <c r="H40" s="86"/>
      <c r="I40" s="86"/>
      <c r="J40" s="86"/>
      <c r="K40" s="86"/>
      <c r="L40" s="86"/>
      <c r="M40" s="86"/>
      <c r="N40" s="86"/>
      <c r="O40" s="86"/>
      <c r="P40" s="86"/>
      <c r="Q40" s="86"/>
      <c r="R40" s="86"/>
      <c r="S40" s="86"/>
      <c r="T40" s="86"/>
      <c r="U40" s="87"/>
    </row>
    <row r="41" spans="2:21" ht="39" customHeight="1" x14ac:dyDescent="0.2">
      <c r="B41" s="85" t="s">
        <v>696</v>
      </c>
      <c r="C41" s="86"/>
      <c r="D41" s="86"/>
      <c r="E41" s="86"/>
      <c r="F41" s="86"/>
      <c r="G41" s="86"/>
      <c r="H41" s="86"/>
      <c r="I41" s="86"/>
      <c r="J41" s="86"/>
      <c r="K41" s="86"/>
      <c r="L41" s="86"/>
      <c r="M41" s="86"/>
      <c r="N41" s="86"/>
      <c r="O41" s="86"/>
      <c r="P41" s="86"/>
      <c r="Q41" s="86"/>
      <c r="R41" s="86"/>
      <c r="S41" s="86"/>
      <c r="T41" s="86"/>
      <c r="U41" s="87"/>
    </row>
    <row r="42" spans="2:21" ht="45" customHeight="1" x14ac:dyDescent="0.2">
      <c r="B42" s="85" t="s">
        <v>697</v>
      </c>
      <c r="C42" s="86"/>
      <c r="D42" s="86"/>
      <c r="E42" s="86"/>
      <c r="F42" s="86"/>
      <c r="G42" s="86"/>
      <c r="H42" s="86"/>
      <c r="I42" s="86"/>
      <c r="J42" s="86"/>
      <c r="K42" s="86"/>
      <c r="L42" s="86"/>
      <c r="M42" s="86"/>
      <c r="N42" s="86"/>
      <c r="O42" s="86"/>
      <c r="P42" s="86"/>
      <c r="Q42" s="86"/>
      <c r="R42" s="86"/>
      <c r="S42" s="86"/>
      <c r="T42" s="86"/>
      <c r="U42" s="87"/>
    </row>
    <row r="43" spans="2:21" ht="48" customHeight="1" x14ac:dyDescent="0.2">
      <c r="B43" s="85" t="s">
        <v>698</v>
      </c>
      <c r="C43" s="86"/>
      <c r="D43" s="86"/>
      <c r="E43" s="86"/>
      <c r="F43" s="86"/>
      <c r="G43" s="86"/>
      <c r="H43" s="86"/>
      <c r="I43" s="86"/>
      <c r="J43" s="86"/>
      <c r="K43" s="86"/>
      <c r="L43" s="86"/>
      <c r="M43" s="86"/>
      <c r="N43" s="86"/>
      <c r="O43" s="86"/>
      <c r="P43" s="86"/>
      <c r="Q43" s="86"/>
      <c r="R43" s="86"/>
      <c r="S43" s="86"/>
      <c r="T43" s="86"/>
      <c r="U43" s="87"/>
    </row>
    <row r="44" spans="2:21" ht="47.25" customHeight="1" x14ac:dyDescent="0.2">
      <c r="B44" s="85" t="s">
        <v>699</v>
      </c>
      <c r="C44" s="86"/>
      <c r="D44" s="86"/>
      <c r="E44" s="86"/>
      <c r="F44" s="86"/>
      <c r="G44" s="86"/>
      <c r="H44" s="86"/>
      <c r="I44" s="86"/>
      <c r="J44" s="86"/>
      <c r="K44" s="86"/>
      <c r="L44" s="86"/>
      <c r="M44" s="86"/>
      <c r="N44" s="86"/>
      <c r="O44" s="86"/>
      <c r="P44" s="86"/>
      <c r="Q44" s="86"/>
      <c r="R44" s="86"/>
      <c r="S44" s="86"/>
      <c r="T44" s="86"/>
      <c r="U44" s="87"/>
    </row>
    <row r="45" spans="2:21" ht="47.25" customHeight="1" x14ac:dyDescent="0.2">
      <c r="B45" s="85" t="s">
        <v>700</v>
      </c>
      <c r="C45" s="86"/>
      <c r="D45" s="86"/>
      <c r="E45" s="86"/>
      <c r="F45" s="86"/>
      <c r="G45" s="86"/>
      <c r="H45" s="86"/>
      <c r="I45" s="86"/>
      <c r="J45" s="86"/>
      <c r="K45" s="86"/>
      <c r="L45" s="86"/>
      <c r="M45" s="86"/>
      <c r="N45" s="86"/>
      <c r="O45" s="86"/>
      <c r="P45" s="86"/>
      <c r="Q45" s="86"/>
      <c r="R45" s="86"/>
      <c r="S45" s="86"/>
      <c r="T45" s="86"/>
      <c r="U45" s="87"/>
    </row>
    <row r="46" spans="2:21" ht="48" customHeight="1" x14ac:dyDescent="0.2">
      <c r="B46" s="85" t="s">
        <v>701</v>
      </c>
      <c r="C46" s="86"/>
      <c r="D46" s="86"/>
      <c r="E46" s="86"/>
      <c r="F46" s="86"/>
      <c r="G46" s="86"/>
      <c r="H46" s="86"/>
      <c r="I46" s="86"/>
      <c r="J46" s="86"/>
      <c r="K46" s="86"/>
      <c r="L46" s="86"/>
      <c r="M46" s="86"/>
      <c r="N46" s="86"/>
      <c r="O46" s="86"/>
      <c r="P46" s="86"/>
      <c r="Q46" s="86"/>
      <c r="R46" s="86"/>
      <c r="S46" s="86"/>
      <c r="T46" s="86"/>
      <c r="U46" s="87"/>
    </row>
    <row r="47" spans="2:21" ht="51.75" customHeight="1" x14ac:dyDescent="0.2">
      <c r="B47" s="85" t="s">
        <v>702</v>
      </c>
      <c r="C47" s="86"/>
      <c r="D47" s="86"/>
      <c r="E47" s="86"/>
      <c r="F47" s="86"/>
      <c r="G47" s="86"/>
      <c r="H47" s="86"/>
      <c r="I47" s="86"/>
      <c r="J47" s="86"/>
      <c r="K47" s="86"/>
      <c r="L47" s="86"/>
      <c r="M47" s="86"/>
      <c r="N47" s="86"/>
      <c r="O47" s="86"/>
      <c r="P47" s="86"/>
      <c r="Q47" s="86"/>
      <c r="R47" s="86"/>
      <c r="S47" s="86"/>
      <c r="T47" s="86"/>
      <c r="U47" s="87"/>
    </row>
    <row r="48" spans="2:21" ht="64.5" customHeight="1" x14ac:dyDescent="0.2">
      <c r="B48" s="85" t="s">
        <v>703</v>
      </c>
      <c r="C48" s="86"/>
      <c r="D48" s="86"/>
      <c r="E48" s="86"/>
      <c r="F48" s="86"/>
      <c r="G48" s="86"/>
      <c r="H48" s="86"/>
      <c r="I48" s="86"/>
      <c r="J48" s="86"/>
      <c r="K48" s="86"/>
      <c r="L48" s="86"/>
      <c r="M48" s="86"/>
      <c r="N48" s="86"/>
      <c r="O48" s="86"/>
      <c r="P48" s="86"/>
      <c r="Q48" s="86"/>
      <c r="R48" s="86"/>
      <c r="S48" s="86"/>
      <c r="T48" s="86"/>
      <c r="U48" s="87"/>
    </row>
    <row r="49" spans="2:21" ht="45" customHeight="1" x14ac:dyDescent="0.2">
      <c r="B49" s="85" t="s">
        <v>704</v>
      </c>
      <c r="C49" s="86"/>
      <c r="D49" s="86"/>
      <c r="E49" s="86"/>
      <c r="F49" s="86"/>
      <c r="G49" s="86"/>
      <c r="H49" s="86"/>
      <c r="I49" s="86"/>
      <c r="J49" s="86"/>
      <c r="K49" s="86"/>
      <c r="L49" s="86"/>
      <c r="M49" s="86"/>
      <c r="N49" s="86"/>
      <c r="O49" s="86"/>
      <c r="P49" s="86"/>
      <c r="Q49" s="86"/>
      <c r="R49" s="86"/>
      <c r="S49" s="86"/>
      <c r="T49" s="86"/>
      <c r="U49" s="87"/>
    </row>
    <row r="50" spans="2:21" ht="42.75" customHeight="1" x14ac:dyDescent="0.2">
      <c r="B50" s="85" t="s">
        <v>705</v>
      </c>
      <c r="C50" s="86"/>
      <c r="D50" s="86"/>
      <c r="E50" s="86"/>
      <c r="F50" s="86"/>
      <c r="G50" s="86"/>
      <c r="H50" s="86"/>
      <c r="I50" s="86"/>
      <c r="J50" s="86"/>
      <c r="K50" s="86"/>
      <c r="L50" s="86"/>
      <c r="M50" s="86"/>
      <c r="N50" s="86"/>
      <c r="O50" s="86"/>
      <c r="P50" s="86"/>
      <c r="Q50" s="86"/>
      <c r="R50" s="86"/>
      <c r="S50" s="86"/>
      <c r="T50" s="86"/>
      <c r="U50" s="87"/>
    </row>
    <row r="51" spans="2:21" ht="72.75" customHeight="1" thickBot="1" x14ac:dyDescent="0.25">
      <c r="B51" s="95" t="s">
        <v>706</v>
      </c>
      <c r="C51" s="96"/>
      <c r="D51" s="96"/>
      <c r="E51" s="96"/>
      <c r="F51" s="96"/>
      <c r="G51" s="96"/>
      <c r="H51" s="96"/>
      <c r="I51" s="96"/>
      <c r="J51" s="96"/>
      <c r="K51" s="96"/>
      <c r="L51" s="96"/>
      <c r="M51" s="96"/>
      <c r="N51" s="96"/>
      <c r="O51" s="96"/>
      <c r="P51" s="96"/>
      <c r="Q51" s="96"/>
      <c r="R51" s="96"/>
      <c r="S51" s="96"/>
      <c r="T51" s="96"/>
      <c r="U51" s="97"/>
    </row>
  </sheetData>
  <mergeCells count="92">
    <mergeCell ref="B50:U50"/>
    <mergeCell ref="B51:U51"/>
    <mergeCell ref="B44:U44"/>
    <mergeCell ref="B45:U45"/>
    <mergeCell ref="B46:U46"/>
    <mergeCell ref="B47:U47"/>
    <mergeCell ref="B48:U48"/>
    <mergeCell ref="B49:U49"/>
    <mergeCell ref="B43:U43"/>
    <mergeCell ref="B31:D31"/>
    <mergeCell ref="B32:D32"/>
    <mergeCell ref="B34:U34"/>
    <mergeCell ref="B35:U35"/>
    <mergeCell ref="B36:U36"/>
    <mergeCell ref="B37:U37"/>
    <mergeCell ref="B38:U38"/>
    <mergeCell ref="B39:U39"/>
    <mergeCell ref="B40:U40"/>
    <mergeCell ref="B41:U41"/>
    <mergeCell ref="B42:U42"/>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3"/>
  <sheetViews>
    <sheetView topLeftCell="C2" zoomScaleNormal="10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v>
      </c>
      <c r="D4" s="57" t="s">
        <v>8</v>
      </c>
      <c r="E4" s="57"/>
      <c r="F4" s="57"/>
      <c r="G4" s="57"/>
      <c r="H4" s="57"/>
      <c r="I4" s="10"/>
      <c r="J4" s="11" t="s">
        <v>9</v>
      </c>
      <c r="K4" s="12" t="s">
        <v>10</v>
      </c>
      <c r="L4" s="58" t="s">
        <v>11</v>
      </c>
      <c r="M4" s="58"/>
      <c r="N4" s="58"/>
      <c r="O4" s="58"/>
      <c r="P4" s="11" t="s">
        <v>12</v>
      </c>
      <c r="Q4" s="58" t="s">
        <v>13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17</v>
      </c>
      <c r="D6" s="60"/>
      <c r="E6" s="60"/>
      <c r="F6" s="60"/>
      <c r="G6" s="60"/>
      <c r="H6" s="14"/>
      <c r="I6" s="14"/>
      <c r="J6" s="14" t="s">
        <v>18</v>
      </c>
      <c r="K6" s="60" t="s">
        <v>19</v>
      </c>
      <c r="L6" s="60"/>
      <c r="M6" s="60"/>
      <c r="N6" s="15"/>
      <c r="O6" s="16" t="s">
        <v>20</v>
      </c>
      <c r="P6" s="60" t="s">
        <v>21</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75" customHeight="1" thickTop="1" thickBot="1" x14ac:dyDescent="0.25">
      <c r="A11" s="21"/>
      <c r="B11" s="22" t="s">
        <v>38</v>
      </c>
      <c r="C11" s="83" t="s">
        <v>39</v>
      </c>
      <c r="D11" s="83"/>
      <c r="E11" s="83"/>
      <c r="F11" s="83"/>
      <c r="G11" s="83"/>
      <c r="H11" s="83"/>
      <c r="I11" s="83" t="s">
        <v>40</v>
      </c>
      <c r="J11" s="83"/>
      <c r="K11" s="83"/>
      <c r="L11" s="83" t="s">
        <v>41</v>
      </c>
      <c r="M11" s="83"/>
      <c r="N11" s="83"/>
      <c r="O11" s="83"/>
      <c r="P11" s="23" t="s">
        <v>42</v>
      </c>
      <c r="Q11" s="23" t="s">
        <v>43</v>
      </c>
      <c r="R11" s="23">
        <v>40.47</v>
      </c>
      <c r="S11" s="23">
        <v>40.51</v>
      </c>
      <c r="T11" s="23">
        <v>56.83</v>
      </c>
      <c r="U11" s="47">
        <f>140.28</f>
        <v>140.28</v>
      </c>
    </row>
    <row r="12" spans="1:21" ht="75" customHeight="1" thickTop="1" thickBot="1" x14ac:dyDescent="0.25">
      <c r="A12" s="21"/>
      <c r="B12" s="22" t="s">
        <v>44</v>
      </c>
      <c r="C12" s="83" t="s">
        <v>45</v>
      </c>
      <c r="D12" s="83"/>
      <c r="E12" s="83"/>
      <c r="F12" s="83"/>
      <c r="G12" s="83"/>
      <c r="H12" s="83"/>
      <c r="I12" s="83" t="s">
        <v>46</v>
      </c>
      <c r="J12" s="83"/>
      <c r="K12" s="83"/>
      <c r="L12" s="83" t="s">
        <v>47</v>
      </c>
      <c r="M12" s="83"/>
      <c r="N12" s="83"/>
      <c r="O12" s="83"/>
      <c r="P12" s="23" t="s">
        <v>42</v>
      </c>
      <c r="Q12" s="23" t="s">
        <v>48</v>
      </c>
      <c r="R12" s="23">
        <v>62</v>
      </c>
      <c r="S12" s="23">
        <v>62.03</v>
      </c>
      <c r="T12" s="23">
        <v>59</v>
      </c>
      <c r="U12" s="47">
        <f>95</f>
        <v>95</v>
      </c>
    </row>
    <row r="13" spans="1:21" ht="75" customHeight="1" thickTop="1" x14ac:dyDescent="0.2">
      <c r="A13" s="21"/>
      <c r="B13" s="22" t="s">
        <v>49</v>
      </c>
      <c r="C13" s="83" t="s">
        <v>50</v>
      </c>
      <c r="D13" s="83"/>
      <c r="E13" s="83"/>
      <c r="F13" s="83"/>
      <c r="G13" s="83"/>
      <c r="H13" s="83"/>
      <c r="I13" s="83" t="s">
        <v>51</v>
      </c>
      <c r="J13" s="83"/>
      <c r="K13" s="83"/>
      <c r="L13" s="83" t="s">
        <v>52</v>
      </c>
      <c r="M13" s="83"/>
      <c r="N13" s="83"/>
      <c r="O13" s="83"/>
      <c r="P13" s="23" t="s">
        <v>42</v>
      </c>
      <c r="Q13" s="23" t="s">
        <v>53</v>
      </c>
      <c r="R13" s="23">
        <v>88.3</v>
      </c>
      <c r="S13" s="23">
        <v>93.81</v>
      </c>
      <c r="T13" s="23">
        <v>94.1</v>
      </c>
      <c r="U13" s="47">
        <f>100.3</f>
        <v>100.3</v>
      </c>
    </row>
    <row r="14" spans="1:21" ht="75" customHeight="1" x14ac:dyDescent="0.2">
      <c r="A14" s="21"/>
      <c r="B14" s="24" t="s">
        <v>54</v>
      </c>
      <c r="C14" s="84" t="s">
        <v>55</v>
      </c>
      <c r="D14" s="84"/>
      <c r="E14" s="84"/>
      <c r="F14" s="84"/>
      <c r="G14" s="84"/>
      <c r="H14" s="84"/>
      <c r="I14" s="84" t="s">
        <v>56</v>
      </c>
      <c r="J14" s="84"/>
      <c r="K14" s="84"/>
      <c r="L14" s="84" t="s">
        <v>57</v>
      </c>
      <c r="M14" s="84"/>
      <c r="N14" s="84"/>
      <c r="O14" s="84"/>
      <c r="P14" s="25" t="s">
        <v>42</v>
      </c>
      <c r="Q14" s="25" t="s">
        <v>58</v>
      </c>
      <c r="R14" s="25">
        <v>50</v>
      </c>
      <c r="S14" s="25">
        <v>92.86</v>
      </c>
      <c r="T14" s="25">
        <v>93.1</v>
      </c>
      <c r="U14" s="26">
        <f>100.25</f>
        <v>100.25</v>
      </c>
    </row>
    <row r="15" spans="1:21" ht="75" customHeight="1" thickBot="1" x14ac:dyDescent="0.25">
      <c r="A15" s="21"/>
      <c r="B15" s="24" t="s">
        <v>54</v>
      </c>
      <c r="C15" s="84" t="s">
        <v>59</v>
      </c>
      <c r="D15" s="84"/>
      <c r="E15" s="84"/>
      <c r="F15" s="84"/>
      <c r="G15" s="84"/>
      <c r="H15" s="84"/>
      <c r="I15" s="84" t="s">
        <v>60</v>
      </c>
      <c r="J15" s="84"/>
      <c r="K15" s="84"/>
      <c r="L15" s="84" t="s">
        <v>61</v>
      </c>
      <c r="M15" s="84"/>
      <c r="N15" s="84"/>
      <c r="O15" s="84"/>
      <c r="P15" s="25" t="s">
        <v>42</v>
      </c>
      <c r="Q15" s="25" t="s">
        <v>62</v>
      </c>
      <c r="R15" s="25">
        <v>70</v>
      </c>
      <c r="S15" s="25">
        <v>70</v>
      </c>
      <c r="T15" s="25">
        <v>94</v>
      </c>
      <c r="U15" s="26">
        <f>134</f>
        <v>134</v>
      </c>
    </row>
    <row r="16" spans="1:21" ht="75" customHeight="1" thickTop="1" x14ac:dyDescent="0.2">
      <c r="A16" s="21"/>
      <c r="B16" s="22" t="s">
        <v>63</v>
      </c>
      <c r="C16" s="83" t="s">
        <v>64</v>
      </c>
      <c r="D16" s="83"/>
      <c r="E16" s="83"/>
      <c r="F16" s="83"/>
      <c r="G16" s="83"/>
      <c r="H16" s="83"/>
      <c r="I16" s="83" t="s">
        <v>65</v>
      </c>
      <c r="J16" s="83"/>
      <c r="K16" s="83"/>
      <c r="L16" s="83" t="s">
        <v>66</v>
      </c>
      <c r="M16" s="83"/>
      <c r="N16" s="83"/>
      <c r="O16" s="83"/>
      <c r="P16" s="23" t="s">
        <v>42</v>
      </c>
      <c r="Q16" s="23" t="s">
        <v>67</v>
      </c>
      <c r="R16" s="23">
        <v>37.04</v>
      </c>
      <c r="S16" s="23">
        <v>37.04</v>
      </c>
      <c r="T16" s="23">
        <v>49.56</v>
      </c>
      <c r="U16" s="47">
        <f>133.8</f>
        <v>133.80000000000001</v>
      </c>
    </row>
    <row r="17" spans="1:22" ht="75" customHeight="1" x14ac:dyDescent="0.2">
      <c r="A17" s="21"/>
      <c r="B17" s="24" t="s">
        <v>54</v>
      </c>
      <c r="C17" s="84" t="s">
        <v>68</v>
      </c>
      <c r="D17" s="84"/>
      <c r="E17" s="84"/>
      <c r="F17" s="84"/>
      <c r="G17" s="84"/>
      <c r="H17" s="84"/>
      <c r="I17" s="84" t="s">
        <v>69</v>
      </c>
      <c r="J17" s="84"/>
      <c r="K17" s="84"/>
      <c r="L17" s="84" t="s">
        <v>70</v>
      </c>
      <c r="M17" s="84"/>
      <c r="N17" s="84"/>
      <c r="O17" s="84"/>
      <c r="P17" s="25" t="s">
        <v>42</v>
      </c>
      <c r="Q17" s="25" t="s">
        <v>67</v>
      </c>
      <c r="R17" s="25">
        <v>22.5</v>
      </c>
      <c r="S17" s="25">
        <v>22.5</v>
      </c>
      <c r="T17" s="25">
        <v>51.8</v>
      </c>
      <c r="U17" s="26">
        <f>230.2</f>
        <v>230.2</v>
      </c>
    </row>
    <row r="18" spans="1:22" ht="75" customHeight="1" x14ac:dyDescent="0.2">
      <c r="A18" s="21"/>
      <c r="B18" s="24" t="s">
        <v>54</v>
      </c>
      <c r="C18" s="84" t="s">
        <v>71</v>
      </c>
      <c r="D18" s="84"/>
      <c r="E18" s="84"/>
      <c r="F18" s="84"/>
      <c r="G18" s="84"/>
      <c r="H18" s="84"/>
      <c r="I18" s="84" t="s">
        <v>72</v>
      </c>
      <c r="J18" s="84"/>
      <c r="K18" s="84"/>
      <c r="L18" s="84" t="s">
        <v>73</v>
      </c>
      <c r="M18" s="84"/>
      <c r="N18" s="84"/>
      <c r="O18" s="84"/>
      <c r="P18" s="25" t="s">
        <v>42</v>
      </c>
      <c r="Q18" s="25" t="s">
        <v>74</v>
      </c>
      <c r="R18" s="25">
        <v>82.4</v>
      </c>
      <c r="S18" s="25">
        <v>82.4</v>
      </c>
      <c r="T18" s="25">
        <v>83</v>
      </c>
      <c r="U18" s="26">
        <f>100.7</f>
        <v>100.7</v>
      </c>
    </row>
    <row r="19" spans="1:22" ht="75" customHeight="1" x14ac:dyDescent="0.2">
      <c r="A19" s="21"/>
      <c r="B19" s="24" t="s">
        <v>54</v>
      </c>
      <c r="C19" s="84" t="s">
        <v>75</v>
      </c>
      <c r="D19" s="84"/>
      <c r="E19" s="84"/>
      <c r="F19" s="84"/>
      <c r="G19" s="84"/>
      <c r="H19" s="84"/>
      <c r="I19" s="84" t="s">
        <v>76</v>
      </c>
      <c r="J19" s="84"/>
      <c r="K19" s="84"/>
      <c r="L19" s="84" t="s">
        <v>77</v>
      </c>
      <c r="M19" s="84"/>
      <c r="N19" s="84"/>
      <c r="O19" s="84"/>
      <c r="P19" s="25" t="s">
        <v>42</v>
      </c>
      <c r="Q19" s="25" t="s">
        <v>53</v>
      </c>
      <c r="R19" s="25">
        <v>100</v>
      </c>
      <c r="S19" s="25">
        <v>100</v>
      </c>
      <c r="T19" s="25">
        <v>100</v>
      </c>
      <c r="U19" s="26">
        <f>100</f>
        <v>100</v>
      </c>
    </row>
    <row r="20" spans="1:22" ht="75" customHeight="1" x14ac:dyDescent="0.2">
      <c r="A20" s="21"/>
      <c r="B20" s="24" t="s">
        <v>54</v>
      </c>
      <c r="C20" s="84" t="s">
        <v>78</v>
      </c>
      <c r="D20" s="84"/>
      <c r="E20" s="84"/>
      <c r="F20" s="84"/>
      <c r="G20" s="84"/>
      <c r="H20" s="84"/>
      <c r="I20" s="84" t="s">
        <v>79</v>
      </c>
      <c r="J20" s="84"/>
      <c r="K20" s="84"/>
      <c r="L20" s="84" t="s">
        <v>80</v>
      </c>
      <c r="M20" s="84"/>
      <c r="N20" s="84"/>
      <c r="O20" s="84"/>
      <c r="P20" s="25" t="s">
        <v>42</v>
      </c>
      <c r="Q20" s="25" t="s">
        <v>67</v>
      </c>
      <c r="R20" s="25">
        <v>39</v>
      </c>
      <c r="S20" s="25">
        <v>25.87</v>
      </c>
      <c r="T20" s="25">
        <v>28.8</v>
      </c>
      <c r="U20" s="26">
        <f>111.32</f>
        <v>111.32</v>
      </c>
    </row>
    <row r="21" spans="1:22" ht="75" customHeight="1" x14ac:dyDescent="0.2">
      <c r="A21" s="21"/>
      <c r="B21" s="24" t="s">
        <v>54</v>
      </c>
      <c r="C21" s="84" t="s">
        <v>81</v>
      </c>
      <c r="D21" s="84"/>
      <c r="E21" s="84"/>
      <c r="F21" s="84"/>
      <c r="G21" s="84"/>
      <c r="H21" s="84"/>
      <c r="I21" s="84" t="s">
        <v>82</v>
      </c>
      <c r="J21" s="84"/>
      <c r="K21" s="84"/>
      <c r="L21" s="84" t="s">
        <v>83</v>
      </c>
      <c r="M21" s="84"/>
      <c r="N21" s="84"/>
      <c r="O21" s="84"/>
      <c r="P21" s="25" t="s">
        <v>42</v>
      </c>
      <c r="Q21" s="25" t="s">
        <v>84</v>
      </c>
      <c r="R21" s="25">
        <v>48</v>
      </c>
      <c r="S21" s="25">
        <v>41.8</v>
      </c>
      <c r="T21" s="25">
        <v>43.77</v>
      </c>
      <c r="U21" s="26">
        <f>104.71</f>
        <v>104.71</v>
      </c>
    </row>
    <row r="22" spans="1:22" ht="75" customHeight="1" x14ac:dyDescent="0.2">
      <c r="A22" s="21"/>
      <c r="B22" s="24" t="s">
        <v>54</v>
      </c>
      <c r="C22" s="84" t="s">
        <v>85</v>
      </c>
      <c r="D22" s="84"/>
      <c r="E22" s="84"/>
      <c r="F22" s="84"/>
      <c r="G22" s="84"/>
      <c r="H22" s="84"/>
      <c r="I22" s="84" t="s">
        <v>86</v>
      </c>
      <c r="J22" s="84"/>
      <c r="K22" s="84"/>
      <c r="L22" s="84" t="s">
        <v>87</v>
      </c>
      <c r="M22" s="84"/>
      <c r="N22" s="84"/>
      <c r="O22" s="84"/>
      <c r="P22" s="25" t="s">
        <v>42</v>
      </c>
      <c r="Q22" s="25" t="s">
        <v>88</v>
      </c>
      <c r="R22" s="25">
        <v>40</v>
      </c>
      <c r="S22" s="25">
        <v>40</v>
      </c>
      <c r="T22" s="25">
        <v>23</v>
      </c>
      <c r="U22" s="26">
        <f>57</f>
        <v>57</v>
      </c>
    </row>
    <row r="23" spans="1:22" ht="75" customHeight="1" thickBot="1" x14ac:dyDescent="0.25">
      <c r="A23" s="21"/>
      <c r="B23" s="24" t="s">
        <v>54</v>
      </c>
      <c r="C23" s="84" t="s">
        <v>89</v>
      </c>
      <c r="D23" s="84"/>
      <c r="E23" s="84"/>
      <c r="F23" s="84"/>
      <c r="G23" s="84"/>
      <c r="H23" s="84"/>
      <c r="I23" s="84" t="s">
        <v>90</v>
      </c>
      <c r="J23" s="84"/>
      <c r="K23" s="84"/>
      <c r="L23" s="84" t="s">
        <v>91</v>
      </c>
      <c r="M23" s="84"/>
      <c r="N23" s="84"/>
      <c r="O23" s="84"/>
      <c r="P23" s="25" t="s">
        <v>42</v>
      </c>
      <c r="Q23" s="25" t="s">
        <v>62</v>
      </c>
      <c r="R23" s="25">
        <v>57.14</v>
      </c>
      <c r="S23" s="25">
        <v>66.67</v>
      </c>
      <c r="T23" s="25">
        <v>71.78</v>
      </c>
      <c r="U23" s="26">
        <f>107.66</f>
        <v>107.66</v>
      </c>
    </row>
    <row r="24" spans="1:22" ht="14.25" customHeight="1" thickTop="1" thickBot="1" x14ac:dyDescent="0.25">
      <c r="B24" s="4" t="s">
        <v>92</v>
      </c>
      <c r="C24" s="5"/>
      <c r="D24" s="5"/>
      <c r="E24" s="5"/>
      <c r="F24" s="5"/>
      <c r="G24" s="5"/>
      <c r="H24" s="6"/>
      <c r="I24" s="6"/>
      <c r="J24" s="6"/>
      <c r="K24" s="6"/>
      <c r="L24" s="6"/>
      <c r="M24" s="6"/>
      <c r="N24" s="6"/>
      <c r="O24" s="6"/>
      <c r="P24" s="6"/>
      <c r="Q24" s="6"/>
      <c r="R24" s="6"/>
      <c r="S24" s="6"/>
      <c r="T24" s="6"/>
      <c r="U24" s="7"/>
      <c r="V24" s="27"/>
    </row>
    <row r="25" spans="1:22" ht="26.25" customHeight="1" thickTop="1" x14ac:dyDescent="0.2">
      <c r="B25" s="28"/>
      <c r="C25" s="29"/>
      <c r="D25" s="29"/>
      <c r="E25" s="29"/>
      <c r="F25" s="29"/>
      <c r="G25" s="29"/>
      <c r="H25" s="30"/>
      <c r="I25" s="30"/>
      <c r="J25" s="30"/>
      <c r="K25" s="30"/>
      <c r="L25" s="30"/>
      <c r="M25" s="30"/>
      <c r="N25" s="30"/>
      <c r="O25" s="30"/>
      <c r="P25" s="30"/>
      <c r="Q25" s="30"/>
      <c r="R25" s="31"/>
      <c r="S25" s="32" t="s">
        <v>33</v>
      </c>
      <c r="T25" s="32" t="s">
        <v>93</v>
      </c>
      <c r="U25" s="18" t="s">
        <v>94</v>
      </c>
    </row>
    <row r="26" spans="1:22" ht="26.25" customHeight="1" thickBot="1" x14ac:dyDescent="0.25">
      <c r="B26" s="33"/>
      <c r="C26" s="34"/>
      <c r="D26" s="34"/>
      <c r="E26" s="34"/>
      <c r="F26" s="34"/>
      <c r="G26" s="34"/>
      <c r="H26" s="35"/>
      <c r="I26" s="35"/>
      <c r="J26" s="35"/>
      <c r="K26" s="35"/>
      <c r="L26" s="35"/>
      <c r="M26" s="35"/>
      <c r="N26" s="35"/>
      <c r="O26" s="35"/>
      <c r="P26" s="35"/>
      <c r="Q26" s="35"/>
      <c r="R26" s="35"/>
      <c r="S26" s="36" t="s">
        <v>95</v>
      </c>
      <c r="T26" s="37" t="s">
        <v>95</v>
      </c>
      <c r="U26" s="37" t="s">
        <v>96</v>
      </c>
    </row>
    <row r="27" spans="1:22" ht="13.5" customHeight="1" thickBot="1" x14ac:dyDescent="0.25">
      <c r="B27" s="88" t="s">
        <v>97</v>
      </c>
      <c r="C27" s="89"/>
      <c r="D27" s="89"/>
      <c r="E27" s="38"/>
      <c r="F27" s="38"/>
      <c r="G27" s="38"/>
      <c r="H27" s="39"/>
      <c r="I27" s="39"/>
      <c r="J27" s="39"/>
      <c r="K27" s="39"/>
      <c r="L27" s="39"/>
      <c r="M27" s="39"/>
      <c r="N27" s="39"/>
      <c r="O27" s="39"/>
      <c r="P27" s="40"/>
      <c r="Q27" s="40"/>
      <c r="R27" s="40"/>
      <c r="S27" s="48">
        <v>549.24873600000001</v>
      </c>
      <c r="T27" s="48">
        <v>580.22035390999986</v>
      </c>
      <c r="U27" s="49">
        <f>+IF(ISERR(T27/S27*100),"N/A",ROUND(T27/S27*100,1))</f>
        <v>105.6</v>
      </c>
    </row>
    <row r="28" spans="1:22" ht="13.5" customHeight="1" thickBot="1" x14ac:dyDescent="0.25">
      <c r="B28" s="90" t="s">
        <v>98</v>
      </c>
      <c r="C28" s="91"/>
      <c r="D28" s="91"/>
      <c r="E28" s="41"/>
      <c r="F28" s="41"/>
      <c r="G28" s="41"/>
      <c r="H28" s="42"/>
      <c r="I28" s="42"/>
      <c r="J28" s="42"/>
      <c r="K28" s="42"/>
      <c r="L28" s="42"/>
      <c r="M28" s="42"/>
      <c r="N28" s="42"/>
      <c r="O28" s="42"/>
      <c r="P28" s="43"/>
      <c r="Q28" s="43"/>
      <c r="R28" s="43"/>
      <c r="S28" s="48">
        <v>580.22035390999986</v>
      </c>
      <c r="T28" s="48">
        <v>580.22035390999986</v>
      </c>
      <c r="U28" s="49">
        <f>+IF(ISERR(T28/S28*100),"N/A",ROUND(T28/S28*100,1))</f>
        <v>100</v>
      </c>
    </row>
    <row r="29" spans="1:22" ht="14.85" customHeight="1" thickTop="1" thickBot="1" x14ac:dyDescent="0.25">
      <c r="B29" s="4" t="s">
        <v>99</v>
      </c>
      <c r="C29" s="5"/>
      <c r="D29" s="5"/>
      <c r="E29" s="5"/>
      <c r="F29" s="5"/>
      <c r="G29" s="5"/>
      <c r="H29" s="6"/>
      <c r="I29" s="6"/>
      <c r="J29" s="6"/>
      <c r="K29" s="6"/>
      <c r="L29" s="6"/>
      <c r="M29" s="6"/>
      <c r="N29" s="6"/>
      <c r="O29" s="6"/>
      <c r="P29" s="6"/>
      <c r="Q29" s="6"/>
      <c r="R29" s="6"/>
      <c r="S29" s="6"/>
      <c r="T29" s="6"/>
      <c r="U29" s="7"/>
    </row>
    <row r="30" spans="1:22" ht="44.25" customHeight="1" thickTop="1" x14ac:dyDescent="0.2">
      <c r="B30" s="92" t="s">
        <v>100</v>
      </c>
      <c r="C30" s="93"/>
      <c r="D30" s="93"/>
      <c r="E30" s="93"/>
      <c r="F30" s="93"/>
      <c r="G30" s="93"/>
      <c r="H30" s="93"/>
      <c r="I30" s="93"/>
      <c r="J30" s="93"/>
      <c r="K30" s="93"/>
      <c r="L30" s="93"/>
      <c r="M30" s="93"/>
      <c r="N30" s="93"/>
      <c r="O30" s="93"/>
      <c r="P30" s="93"/>
      <c r="Q30" s="93"/>
      <c r="R30" s="93"/>
      <c r="S30" s="93"/>
      <c r="T30" s="93"/>
      <c r="U30" s="94"/>
    </row>
    <row r="31" spans="1:22" ht="74.25" customHeight="1" x14ac:dyDescent="0.2">
      <c r="B31" s="85" t="s">
        <v>101</v>
      </c>
      <c r="C31" s="86"/>
      <c r="D31" s="86"/>
      <c r="E31" s="86"/>
      <c r="F31" s="86"/>
      <c r="G31" s="86"/>
      <c r="H31" s="86"/>
      <c r="I31" s="86"/>
      <c r="J31" s="86"/>
      <c r="K31" s="86"/>
      <c r="L31" s="86"/>
      <c r="M31" s="86"/>
      <c r="N31" s="86"/>
      <c r="O31" s="86"/>
      <c r="P31" s="86"/>
      <c r="Q31" s="86"/>
      <c r="R31" s="86"/>
      <c r="S31" s="86"/>
      <c r="T31" s="86"/>
      <c r="U31" s="87"/>
    </row>
    <row r="32" spans="1:22" ht="86.25" customHeight="1" x14ac:dyDescent="0.2">
      <c r="B32" s="85" t="s">
        <v>102</v>
      </c>
      <c r="C32" s="86"/>
      <c r="D32" s="86"/>
      <c r="E32" s="86"/>
      <c r="F32" s="86"/>
      <c r="G32" s="86"/>
      <c r="H32" s="86"/>
      <c r="I32" s="86"/>
      <c r="J32" s="86"/>
      <c r="K32" s="86"/>
      <c r="L32" s="86"/>
      <c r="M32" s="86"/>
      <c r="N32" s="86"/>
      <c r="O32" s="86"/>
      <c r="P32" s="86"/>
      <c r="Q32" s="86"/>
      <c r="R32" s="86"/>
      <c r="S32" s="86"/>
      <c r="T32" s="86"/>
      <c r="U32" s="87"/>
    </row>
    <row r="33" spans="2:21" ht="47.25" customHeight="1" x14ac:dyDescent="0.2">
      <c r="B33" s="85" t="s">
        <v>103</v>
      </c>
      <c r="C33" s="86"/>
      <c r="D33" s="86"/>
      <c r="E33" s="86"/>
      <c r="F33" s="86"/>
      <c r="G33" s="86"/>
      <c r="H33" s="86"/>
      <c r="I33" s="86"/>
      <c r="J33" s="86"/>
      <c r="K33" s="86"/>
      <c r="L33" s="86"/>
      <c r="M33" s="86"/>
      <c r="N33" s="86"/>
      <c r="O33" s="86"/>
      <c r="P33" s="86"/>
      <c r="Q33" s="86"/>
      <c r="R33" s="86"/>
      <c r="S33" s="86"/>
      <c r="T33" s="86"/>
      <c r="U33" s="87"/>
    </row>
    <row r="34" spans="2:21" ht="48.75" customHeight="1" x14ac:dyDescent="0.2">
      <c r="B34" s="85" t="s">
        <v>104</v>
      </c>
      <c r="C34" s="86"/>
      <c r="D34" s="86"/>
      <c r="E34" s="86"/>
      <c r="F34" s="86"/>
      <c r="G34" s="86"/>
      <c r="H34" s="86"/>
      <c r="I34" s="86"/>
      <c r="J34" s="86"/>
      <c r="K34" s="86"/>
      <c r="L34" s="86"/>
      <c r="M34" s="86"/>
      <c r="N34" s="86"/>
      <c r="O34" s="86"/>
      <c r="P34" s="86"/>
      <c r="Q34" s="86"/>
      <c r="R34" s="86"/>
      <c r="S34" s="86"/>
      <c r="T34" s="86"/>
      <c r="U34" s="87"/>
    </row>
    <row r="35" spans="2:21" ht="75.75" customHeight="1" x14ac:dyDescent="0.2">
      <c r="B35" s="85" t="s">
        <v>105</v>
      </c>
      <c r="C35" s="86"/>
      <c r="D35" s="86"/>
      <c r="E35" s="86"/>
      <c r="F35" s="86"/>
      <c r="G35" s="86"/>
      <c r="H35" s="86"/>
      <c r="I35" s="86"/>
      <c r="J35" s="86"/>
      <c r="K35" s="86"/>
      <c r="L35" s="86"/>
      <c r="M35" s="86"/>
      <c r="N35" s="86"/>
      <c r="O35" s="86"/>
      <c r="P35" s="86"/>
      <c r="Q35" s="86"/>
      <c r="R35" s="86"/>
      <c r="S35" s="86"/>
      <c r="T35" s="86"/>
      <c r="U35" s="87"/>
    </row>
    <row r="36" spans="2:21" ht="72" customHeight="1" x14ac:dyDescent="0.2">
      <c r="B36" s="85" t="s">
        <v>106</v>
      </c>
      <c r="C36" s="86"/>
      <c r="D36" s="86"/>
      <c r="E36" s="86"/>
      <c r="F36" s="86"/>
      <c r="G36" s="86"/>
      <c r="H36" s="86"/>
      <c r="I36" s="86"/>
      <c r="J36" s="86"/>
      <c r="K36" s="86"/>
      <c r="L36" s="86"/>
      <c r="M36" s="86"/>
      <c r="N36" s="86"/>
      <c r="O36" s="86"/>
      <c r="P36" s="86"/>
      <c r="Q36" s="86"/>
      <c r="R36" s="86"/>
      <c r="S36" s="86"/>
      <c r="T36" s="86"/>
      <c r="U36" s="87"/>
    </row>
    <row r="37" spans="2:21" ht="58.5" customHeight="1" x14ac:dyDescent="0.2">
      <c r="B37" s="85" t="s">
        <v>107</v>
      </c>
      <c r="C37" s="86"/>
      <c r="D37" s="86"/>
      <c r="E37" s="86"/>
      <c r="F37" s="86"/>
      <c r="G37" s="86"/>
      <c r="H37" s="86"/>
      <c r="I37" s="86"/>
      <c r="J37" s="86"/>
      <c r="K37" s="86"/>
      <c r="L37" s="86"/>
      <c r="M37" s="86"/>
      <c r="N37" s="86"/>
      <c r="O37" s="86"/>
      <c r="P37" s="86"/>
      <c r="Q37" s="86"/>
      <c r="R37" s="86"/>
      <c r="S37" s="86"/>
      <c r="T37" s="86"/>
      <c r="U37" s="87"/>
    </row>
    <row r="38" spans="2:21" ht="78" customHeight="1" x14ac:dyDescent="0.2">
      <c r="B38" s="85" t="s">
        <v>108</v>
      </c>
      <c r="C38" s="86"/>
      <c r="D38" s="86"/>
      <c r="E38" s="86"/>
      <c r="F38" s="86"/>
      <c r="G38" s="86"/>
      <c r="H38" s="86"/>
      <c r="I38" s="86"/>
      <c r="J38" s="86"/>
      <c r="K38" s="86"/>
      <c r="L38" s="86"/>
      <c r="M38" s="86"/>
      <c r="N38" s="86"/>
      <c r="O38" s="86"/>
      <c r="P38" s="86"/>
      <c r="Q38" s="86"/>
      <c r="R38" s="86"/>
      <c r="S38" s="86"/>
      <c r="T38" s="86"/>
      <c r="U38" s="87"/>
    </row>
    <row r="39" spans="2:21" ht="51.75" customHeight="1" x14ac:dyDescent="0.2">
      <c r="B39" s="85" t="s">
        <v>109</v>
      </c>
      <c r="C39" s="86"/>
      <c r="D39" s="86"/>
      <c r="E39" s="86"/>
      <c r="F39" s="86"/>
      <c r="G39" s="86"/>
      <c r="H39" s="86"/>
      <c r="I39" s="86"/>
      <c r="J39" s="86"/>
      <c r="K39" s="86"/>
      <c r="L39" s="86"/>
      <c r="M39" s="86"/>
      <c r="N39" s="86"/>
      <c r="O39" s="86"/>
      <c r="P39" s="86"/>
      <c r="Q39" s="86"/>
      <c r="R39" s="86"/>
      <c r="S39" s="86"/>
      <c r="T39" s="86"/>
      <c r="U39" s="87"/>
    </row>
    <row r="40" spans="2:21" ht="40.35" customHeight="1" x14ac:dyDescent="0.2">
      <c r="B40" s="85" t="s">
        <v>110</v>
      </c>
      <c r="C40" s="86"/>
      <c r="D40" s="86"/>
      <c r="E40" s="86"/>
      <c r="F40" s="86"/>
      <c r="G40" s="86"/>
      <c r="H40" s="86"/>
      <c r="I40" s="86"/>
      <c r="J40" s="86"/>
      <c r="K40" s="86"/>
      <c r="L40" s="86"/>
      <c r="M40" s="86"/>
      <c r="N40" s="86"/>
      <c r="O40" s="86"/>
      <c r="P40" s="86"/>
      <c r="Q40" s="86"/>
      <c r="R40" s="86"/>
      <c r="S40" s="86"/>
      <c r="T40" s="86"/>
      <c r="U40" s="87"/>
    </row>
    <row r="41" spans="2:21" ht="72" customHeight="1" x14ac:dyDescent="0.2">
      <c r="B41" s="85" t="s">
        <v>111</v>
      </c>
      <c r="C41" s="86"/>
      <c r="D41" s="86"/>
      <c r="E41" s="86"/>
      <c r="F41" s="86"/>
      <c r="G41" s="86"/>
      <c r="H41" s="86"/>
      <c r="I41" s="86"/>
      <c r="J41" s="86"/>
      <c r="K41" s="86"/>
      <c r="L41" s="86"/>
      <c r="M41" s="86"/>
      <c r="N41" s="86"/>
      <c r="O41" s="86"/>
      <c r="P41" s="86"/>
      <c r="Q41" s="86"/>
      <c r="R41" s="86"/>
      <c r="S41" s="86"/>
      <c r="T41" s="86"/>
      <c r="U41" s="87"/>
    </row>
    <row r="42" spans="2:21" ht="69" customHeight="1" x14ac:dyDescent="0.2">
      <c r="B42" s="85" t="s">
        <v>112</v>
      </c>
      <c r="C42" s="86"/>
      <c r="D42" s="86"/>
      <c r="E42" s="86"/>
      <c r="F42" s="86"/>
      <c r="G42" s="86"/>
      <c r="H42" s="86"/>
      <c r="I42" s="86"/>
      <c r="J42" s="86"/>
      <c r="K42" s="86"/>
      <c r="L42" s="86"/>
      <c r="M42" s="86"/>
      <c r="N42" s="86"/>
      <c r="O42" s="86"/>
      <c r="P42" s="86"/>
      <c r="Q42" s="86"/>
      <c r="R42" s="86"/>
      <c r="S42" s="86"/>
      <c r="T42" s="86"/>
      <c r="U42" s="87"/>
    </row>
    <row r="43" spans="2:21" ht="56.25" customHeight="1" thickBot="1" x14ac:dyDescent="0.25">
      <c r="B43" s="95" t="s">
        <v>113</v>
      </c>
      <c r="C43" s="96"/>
      <c r="D43" s="96"/>
      <c r="E43" s="96"/>
      <c r="F43" s="96"/>
      <c r="G43" s="96"/>
      <c r="H43" s="96"/>
      <c r="I43" s="96"/>
      <c r="J43" s="96"/>
      <c r="K43" s="96"/>
      <c r="L43" s="96"/>
      <c r="M43" s="96"/>
      <c r="N43" s="96"/>
      <c r="O43" s="96"/>
      <c r="P43" s="96"/>
      <c r="Q43" s="96"/>
      <c r="R43" s="96"/>
      <c r="S43" s="96"/>
      <c r="T43" s="96"/>
      <c r="U43" s="97"/>
    </row>
  </sheetData>
  <mergeCells count="76">
    <mergeCell ref="B40:U40"/>
    <mergeCell ref="B41:U41"/>
    <mergeCell ref="B42:U42"/>
    <mergeCell ref="B43:U43"/>
    <mergeCell ref="B34:U34"/>
    <mergeCell ref="B35:U35"/>
    <mergeCell ref="B36:U36"/>
    <mergeCell ref="B37:U37"/>
    <mergeCell ref="B38:U38"/>
    <mergeCell ref="B39:U39"/>
    <mergeCell ref="B33:U33"/>
    <mergeCell ref="C22:H22"/>
    <mergeCell ref="I22:K22"/>
    <mergeCell ref="L22:O22"/>
    <mergeCell ref="C23:H23"/>
    <mergeCell ref="I23:K23"/>
    <mergeCell ref="L23:O23"/>
    <mergeCell ref="B27:D27"/>
    <mergeCell ref="B28:D28"/>
    <mergeCell ref="B30:U30"/>
    <mergeCell ref="B31:U31"/>
    <mergeCell ref="B32:U32"/>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3"/>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6.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114</v>
      </c>
      <c r="D4" s="57" t="s">
        <v>115</v>
      </c>
      <c r="E4" s="57"/>
      <c r="F4" s="57"/>
      <c r="G4" s="57"/>
      <c r="H4" s="57"/>
      <c r="I4" s="10"/>
      <c r="J4" s="11" t="s">
        <v>9</v>
      </c>
      <c r="K4" s="12" t="s">
        <v>10</v>
      </c>
      <c r="L4" s="58" t="s">
        <v>11</v>
      </c>
      <c r="M4" s="58"/>
      <c r="N4" s="58"/>
      <c r="O4" s="58"/>
      <c r="P4" s="11" t="s">
        <v>12</v>
      </c>
      <c r="Q4" s="58" t="s">
        <v>116</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17</v>
      </c>
      <c r="D6" s="60"/>
      <c r="E6" s="60"/>
      <c r="F6" s="60"/>
      <c r="G6" s="60"/>
      <c r="H6" s="14"/>
      <c r="I6" s="14"/>
      <c r="J6" s="14" t="s">
        <v>18</v>
      </c>
      <c r="K6" s="60" t="s">
        <v>117</v>
      </c>
      <c r="L6" s="60"/>
      <c r="M6" s="60"/>
      <c r="N6" s="15"/>
      <c r="O6" s="16" t="s">
        <v>20</v>
      </c>
      <c r="P6" s="60" t="s">
        <v>118</v>
      </c>
      <c r="Q6" s="60"/>
      <c r="R6" s="17"/>
      <c r="S6" s="16" t="s">
        <v>22</v>
      </c>
      <c r="T6" s="60" t="s">
        <v>119</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75" customHeight="1" thickTop="1" thickBot="1" x14ac:dyDescent="0.25">
      <c r="A11" s="21"/>
      <c r="B11" s="22" t="s">
        <v>38</v>
      </c>
      <c r="C11" s="83" t="s">
        <v>120</v>
      </c>
      <c r="D11" s="83"/>
      <c r="E11" s="83"/>
      <c r="F11" s="83"/>
      <c r="G11" s="83"/>
      <c r="H11" s="83"/>
      <c r="I11" s="83" t="s">
        <v>121</v>
      </c>
      <c r="J11" s="83"/>
      <c r="K11" s="83"/>
      <c r="L11" s="83" t="s">
        <v>122</v>
      </c>
      <c r="M11" s="83"/>
      <c r="N11" s="83"/>
      <c r="O11" s="83"/>
      <c r="P11" s="23" t="s">
        <v>42</v>
      </c>
      <c r="Q11" s="23" t="s">
        <v>43</v>
      </c>
      <c r="R11" s="23">
        <v>90</v>
      </c>
      <c r="S11" s="23">
        <v>90</v>
      </c>
      <c r="T11" s="23">
        <v>88.41</v>
      </c>
      <c r="U11" s="47">
        <f>98.24</f>
        <v>98.24</v>
      </c>
    </row>
    <row r="12" spans="1:21" ht="97.5" customHeight="1" thickTop="1" x14ac:dyDescent="0.2">
      <c r="A12" s="21"/>
      <c r="B12" s="22" t="s">
        <v>44</v>
      </c>
      <c r="C12" s="83" t="s">
        <v>124</v>
      </c>
      <c r="D12" s="83"/>
      <c r="E12" s="83"/>
      <c r="F12" s="83"/>
      <c r="G12" s="83"/>
      <c r="H12" s="83"/>
      <c r="I12" s="83" t="s">
        <v>125</v>
      </c>
      <c r="J12" s="83"/>
      <c r="K12" s="83"/>
      <c r="L12" s="83" t="s">
        <v>126</v>
      </c>
      <c r="M12" s="83"/>
      <c r="N12" s="83"/>
      <c r="O12" s="83"/>
      <c r="P12" s="23" t="s">
        <v>42</v>
      </c>
      <c r="Q12" s="23" t="s">
        <v>43</v>
      </c>
      <c r="R12" s="23">
        <v>20</v>
      </c>
      <c r="S12" s="23">
        <v>20</v>
      </c>
      <c r="T12" s="23">
        <v>84.85</v>
      </c>
      <c r="U12" s="47">
        <f>424.24</f>
        <v>424.24</v>
      </c>
    </row>
    <row r="13" spans="1:21" ht="95.25" customHeight="1" x14ac:dyDescent="0.2">
      <c r="A13" s="21"/>
      <c r="B13" s="24" t="s">
        <v>54</v>
      </c>
      <c r="C13" s="84" t="s">
        <v>54</v>
      </c>
      <c r="D13" s="84"/>
      <c r="E13" s="84"/>
      <c r="F13" s="84"/>
      <c r="G13" s="84"/>
      <c r="H13" s="84"/>
      <c r="I13" s="84" t="s">
        <v>127</v>
      </c>
      <c r="J13" s="84"/>
      <c r="K13" s="84"/>
      <c r="L13" s="84" t="s">
        <v>128</v>
      </c>
      <c r="M13" s="84"/>
      <c r="N13" s="84"/>
      <c r="O13" s="84"/>
      <c r="P13" s="25" t="s">
        <v>42</v>
      </c>
      <c r="Q13" s="25" t="s">
        <v>48</v>
      </c>
      <c r="R13" s="25">
        <v>90</v>
      </c>
      <c r="S13" s="25">
        <v>90</v>
      </c>
      <c r="T13" s="25">
        <v>97.44</v>
      </c>
      <c r="U13" s="26">
        <f>108.26</f>
        <v>108.26</v>
      </c>
    </row>
    <row r="14" spans="1:21" ht="84.75" customHeight="1" thickBot="1" x14ac:dyDescent="0.25">
      <c r="A14" s="21"/>
      <c r="B14" s="24" t="s">
        <v>54</v>
      </c>
      <c r="C14" s="84" t="s">
        <v>54</v>
      </c>
      <c r="D14" s="84"/>
      <c r="E14" s="84"/>
      <c r="F14" s="84"/>
      <c r="G14" s="84"/>
      <c r="H14" s="84"/>
      <c r="I14" s="84" t="s">
        <v>129</v>
      </c>
      <c r="J14" s="84"/>
      <c r="K14" s="84"/>
      <c r="L14" s="84" t="s">
        <v>130</v>
      </c>
      <c r="M14" s="84"/>
      <c r="N14" s="84"/>
      <c r="O14" s="84"/>
      <c r="P14" s="25" t="s">
        <v>42</v>
      </c>
      <c r="Q14" s="25" t="s">
        <v>48</v>
      </c>
      <c r="R14" s="25">
        <v>90</v>
      </c>
      <c r="S14" s="25">
        <v>90</v>
      </c>
      <c r="T14" s="25">
        <v>90.35</v>
      </c>
      <c r="U14" s="26">
        <f>100.39</f>
        <v>100.39</v>
      </c>
    </row>
    <row r="15" spans="1:21" ht="121.5" customHeight="1" thickTop="1" x14ac:dyDescent="0.2">
      <c r="A15" s="21"/>
      <c r="B15" s="22" t="s">
        <v>49</v>
      </c>
      <c r="C15" s="83" t="s">
        <v>131</v>
      </c>
      <c r="D15" s="83"/>
      <c r="E15" s="83"/>
      <c r="F15" s="83"/>
      <c r="G15" s="83"/>
      <c r="H15" s="83"/>
      <c r="I15" s="83" t="s">
        <v>132</v>
      </c>
      <c r="J15" s="83"/>
      <c r="K15" s="83"/>
      <c r="L15" s="83" t="s">
        <v>133</v>
      </c>
      <c r="M15" s="83"/>
      <c r="N15" s="83"/>
      <c r="O15" s="83"/>
      <c r="P15" s="23" t="s">
        <v>42</v>
      </c>
      <c r="Q15" s="23" t="s">
        <v>134</v>
      </c>
      <c r="R15" s="44" t="s">
        <v>123</v>
      </c>
      <c r="S15" s="23" t="s">
        <v>123</v>
      </c>
      <c r="T15" s="23">
        <v>63.38</v>
      </c>
      <c r="U15" s="47">
        <f>70.42</f>
        <v>70.42</v>
      </c>
    </row>
    <row r="16" spans="1:21" ht="75" customHeight="1" x14ac:dyDescent="0.2">
      <c r="A16" s="21"/>
      <c r="B16" s="24" t="s">
        <v>54</v>
      </c>
      <c r="C16" s="84" t="s">
        <v>135</v>
      </c>
      <c r="D16" s="84"/>
      <c r="E16" s="84"/>
      <c r="F16" s="84"/>
      <c r="G16" s="84"/>
      <c r="H16" s="84"/>
      <c r="I16" s="84" t="s">
        <v>136</v>
      </c>
      <c r="J16" s="84"/>
      <c r="K16" s="84"/>
      <c r="L16" s="84" t="s">
        <v>137</v>
      </c>
      <c r="M16" s="84"/>
      <c r="N16" s="84"/>
      <c r="O16" s="84"/>
      <c r="P16" s="25" t="s">
        <v>42</v>
      </c>
      <c r="Q16" s="25" t="s">
        <v>134</v>
      </c>
      <c r="R16" s="45" t="s">
        <v>123</v>
      </c>
      <c r="S16" s="25">
        <v>100</v>
      </c>
      <c r="T16" s="25">
        <v>102.48</v>
      </c>
      <c r="U16" s="26">
        <f>102.48</f>
        <v>102.48</v>
      </c>
    </row>
    <row r="17" spans="1:22" ht="87" customHeight="1" thickBot="1" x14ac:dyDescent="0.25">
      <c r="A17" s="21"/>
      <c r="B17" s="24" t="s">
        <v>54</v>
      </c>
      <c r="C17" s="84" t="s">
        <v>138</v>
      </c>
      <c r="D17" s="84"/>
      <c r="E17" s="84"/>
      <c r="F17" s="84"/>
      <c r="G17" s="84"/>
      <c r="H17" s="84"/>
      <c r="I17" s="84" t="s">
        <v>139</v>
      </c>
      <c r="J17" s="84"/>
      <c r="K17" s="84"/>
      <c r="L17" s="84" t="s">
        <v>140</v>
      </c>
      <c r="M17" s="84"/>
      <c r="N17" s="84"/>
      <c r="O17" s="84"/>
      <c r="P17" s="25" t="s">
        <v>42</v>
      </c>
      <c r="Q17" s="25" t="s">
        <v>74</v>
      </c>
      <c r="R17" s="45" t="s">
        <v>123</v>
      </c>
      <c r="S17" s="25" t="s">
        <v>123</v>
      </c>
      <c r="T17" s="25">
        <v>99.37</v>
      </c>
      <c r="U17" s="26">
        <f>99.37</f>
        <v>99.37</v>
      </c>
    </row>
    <row r="18" spans="1:22" ht="75" customHeight="1" thickTop="1" x14ac:dyDescent="0.2">
      <c r="A18" s="21"/>
      <c r="B18" s="22" t="s">
        <v>63</v>
      </c>
      <c r="C18" s="83" t="s">
        <v>141</v>
      </c>
      <c r="D18" s="83"/>
      <c r="E18" s="83"/>
      <c r="F18" s="83"/>
      <c r="G18" s="83"/>
      <c r="H18" s="83"/>
      <c r="I18" s="83" t="s">
        <v>142</v>
      </c>
      <c r="J18" s="83"/>
      <c r="K18" s="83"/>
      <c r="L18" s="83" t="s">
        <v>143</v>
      </c>
      <c r="M18" s="83"/>
      <c r="N18" s="83"/>
      <c r="O18" s="83"/>
      <c r="P18" s="23" t="s">
        <v>42</v>
      </c>
      <c r="Q18" s="23" t="s">
        <v>74</v>
      </c>
      <c r="R18" s="23" t="s">
        <v>123</v>
      </c>
      <c r="S18" s="23">
        <v>50</v>
      </c>
      <c r="T18" s="23">
        <v>35.15</v>
      </c>
      <c r="U18" s="47">
        <f>54.07</f>
        <v>54.07</v>
      </c>
    </row>
    <row r="19" spans="1:22" ht="75" customHeight="1" x14ac:dyDescent="0.2">
      <c r="A19" s="21"/>
      <c r="B19" s="24" t="s">
        <v>54</v>
      </c>
      <c r="C19" s="84" t="s">
        <v>144</v>
      </c>
      <c r="D19" s="84"/>
      <c r="E19" s="84"/>
      <c r="F19" s="84"/>
      <c r="G19" s="84"/>
      <c r="H19" s="84"/>
      <c r="I19" s="84" t="s">
        <v>145</v>
      </c>
      <c r="J19" s="84"/>
      <c r="K19" s="84"/>
      <c r="L19" s="84" t="s">
        <v>146</v>
      </c>
      <c r="M19" s="84"/>
      <c r="N19" s="84"/>
      <c r="O19" s="84"/>
      <c r="P19" s="25" t="s">
        <v>42</v>
      </c>
      <c r="Q19" s="25" t="s">
        <v>74</v>
      </c>
      <c r="R19" s="25" t="s">
        <v>123</v>
      </c>
      <c r="S19" s="25">
        <v>35</v>
      </c>
      <c r="T19" s="25">
        <v>9.83</v>
      </c>
      <c r="U19" s="26">
        <f>28.07</f>
        <v>28.07</v>
      </c>
    </row>
    <row r="20" spans="1:22" ht="85.5" customHeight="1" x14ac:dyDescent="0.2">
      <c r="A20" s="21"/>
      <c r="B20" s="24" t="s">
        <v>54</v>
      </c>
      <c r="C20" s="84" t="s">
        <v>147</v>
      </c>
      <c r="D20" s="84"/>
      <c r="E20" s="84"/>
      <c r="F20" s="84"/>
      <c r="G20" s="84"/>
      <c r="H20" s="84"/>
      <c r="I20" s="84" t="s">
        <v>148</v>
      </c>
      <c r="J20" s="84"/>
      <c r="K20" s="84"/>
      <c r="L20" s="84" t="s">
        <v>149</v>
      </c>
      <c r="M20" s="84"/>
      <c r="N20" s="84"/>
      <c r="O20" s="84"/>
      <c r="P20" s="25" t="s">
        <v>42</v>
      </c>
      <c r="Q20" s="25" t="s">
        <v>74</v>
      </c>
      <c r="R20" s="25" t="s">
        <v>123</v>
      </c>
      <c r="S20" s="25">
        <v>90</v>
      </c>
      <c r="T20" s="25">
        <v>52.95</v>
      </c>
      <c r="U20" s="26">
        <f>58.83</f>
        <v>58.83</v>
      </c>
    </row>
    <row r="21" spans="1:22" ht="75" customHeight="1" x14ac:dyDescent="0.2">
      <c r="A21" s="21"/>
      <c r="B21" s="24" t="s">
        <v>54</v>
      </c>
      <c r="C21" s="84" t="s">
        <v>150</v>
      </c>
      <c r="D21" s="84"/>
      <c r="E21" s="84"/>
      <c r="F21" s="84"/>
      <c r="G21" s="84"/>
      <c r="H21" s="84"/>
      <c r="I21" s="84" t="s">
        <v>151</v>
      </c>
      <c r="J21" s="84"/>
      <c r="K21" s="84"/>
      <c r="L21" s="84" t="s">
        <v>152</v>
      </c>
      <c r="M21" s="84"/>
      <c r="N21" s="84"/>
      <c r="O21" s="84"/>
      <c r="P21" s="25" t="s">
        <v>42</v>
      </c>
      <c r="Q21" s="25" t="s">
        <v>74</v>
      </c>
      <c r="R21" s="25" t="s">
        <v>123</v>
      </c>
      <c r="S21" s="25">
        <v>90</v>
      </c>
      <c r="T21" s="25">
        <v>89.47</v>
      </c>
      <c r="U21" s="26">
        <f>99.41</f>
        <v>99.41</v>
      </c>
    </row>
    <row r="22" spans="1:22" ht="75" customHeight="1" x14ac:dyDescent="0.2">
      <c r="A22" s="21"/>
      <c r="B22" s="24" t="s">
        <v>54</v>
      </c>
      <c r="C22" s="84" t="s">
        <v>153</v>
      </c>
      <c r="D22" s="84"/>
      <c r="E22" s="84"/>
      <c r="F22" s="84"/>
      <c r="G22" s="84"/>
      <c r="H22" s="84"/>
      <c r="I22" s="84" t="s">
        <v>154</v>
      </c>
      <c r="J22" s="84"/>
      <c r="K22" s="84"/>
      <c r="L22" s="84" t="s">
        <v>155</v>
      </c>
      <c r="M22" s="84"/>
      <c r="N22" s="84"/>
      <c r="O22" s="84"/>
      <c r="P22" s="25" t="s">
        <v>42</v>
      </c>
      <c r="Q22" s="25" t="s">
        <v>74</v>
      </c>
      <c r="R22" s="25" t="s">
        <v>123</v>
      </c>
      <c r="S22" s="25">
        <v>90</v>
      </c>
      <c r="T22" s="25">
        <v>39.619999999999997</v>
      </c>
      <c r="U22" s="26">
        <f>44.03</f>
        <v>44.03</v>
      </c>
    </row>
    <row r="23" spans="1:22" ht="75" customHeight="1" x14ac:dyDescent="0.2">
      <c r="A23" s="21"/>
      <c r="B23" s="24" t="s">
        <v>54</v>
      </c>
      <c r="C23" s="84" t="s">
        <v>156</v>
      </c>
      <c r="D23" s="84"/>
      <c r="E23" s="84"/>
      <c r="F23" s="84"/>
      <c r="G23" s="84"/>
      <c r="H23" s="84"/>
      <c r="I23" s="84" t="s">
        <v>157</v>
      </c>
      <c r="J23" s="84"/>
      <c r="K23" s="84"/>
      <c r="L23" s="84" t="s">
        <v>158</v>
      </c>
      <c r="M23" s="84"/>
      <c r="N23" s="84"/>
      <c r="O23" s="84"/>
      <c r="P23" s="25" t="s">
        <v>42</v>
      </c>
      <c r="Q23" s="25" t="s">
        <v>84</v>
      </c>
      <c r="R23" s="25" t="s">
        <v>123</v>
      </c>
      <c r="S23" s="25">
        <v>95</v>
      </c>
      <c r="T23" s="25">
        <v>95.5</v>
      </c>
      <c r="U23" s="26">
        <f>100.52</f>
        <v>100.52</v>
      </c>
    </row>
    <row r="24" spans="1:22" ht="75" customHeight="1" x14ac:dyDescent="0.2">
      <c r="A24" s="21"/>
      <c r="B24" s="24" t="s">
        <v>54</v>
      </c>
      <c r="C24" s="84" t="s">
        <v>159</v>
      </c>
      <c r="D24" s="84"/>
      <c r="E24" s="84"/>
      <c r="F24" s="84"/>
      <c r="G24" s="84"/>
      <c r="H24" s="84"/>
      <c r="I24" s="84" t="s">
        <v>160</v>
      </c>
      <c r="J24" s="84"/>
      <c r="K24" s="84"/>
      <c r="L24" s="84" t="s">
        <v>161</v>
      </c>
      <c r="M24" s="84"/>
      <c r="N24" s="84"/>
      <c r="O24" s="84"/>
      <c r="P24" s="25" t="s">
        <v>42</v>
      </c>
      <c r="Q24" s="25" t="s">
        <v>84</v>
      </c>
      <c r="R24" s="25" t="s">
        <v>123</v>
      </c>
      <c r="S24" s="25" t="s">
        <v>123</v>
      </c>
      <c r="T24" s="25">
        <v>93.91</v>
      </c>
      <c r="U24" s="26">
        <f>104.34</f>
        <v>104.34</v>
      </c>
    </row>
    <row r="25" spans="1:22" ht="75" customHeight="1" x14ac:dyDescent="0.2">
      <c r="A25" s="21"/>
      <c r="B25" s="24" t="s">
        <v>54</v>
      </c>
      <c r="C25" s="84" t="s">
        <v>162</v>
      </c>
      <c r="D25" s="84"/>
      <c r="E25" s="84"/>
      <c r="F25" s="84"/>
      <c r="G25" s="84"/>
      <c r="H25" s="84"/>
      <c r="I25" s="84" t="s">
        <v>163</v>
      </c>
      <c r="J25" s="84"/>
      <c r="K25" s="84"/>
      <c r="L25" s="84" t="s">
        <v>164</v>
      </c>
      <c r="M25" s="84"/>
      <c r="N25" s="84"/>
      <c r="O25" s="84"/>
      <c r="P25" s="25" t="s">
        <v>42</v>
      </c>
      <c r="Q25" s="25" t="s">
        <v>165</v>
      </c>
      <c r="R25" s="25" t="s">
        <v>123</v>
      </c>
      <c r="S25" s="25" t="s">
        <v>123</v>
      </c>
      <c r="T25" s="25">
        <v>9.44</v>
      </c>
      <c r="U25" s="26">
        <f>100.62</f>
        <v>100.62</v>
      </c>
    </row>
    <row r="26" spans="1:22" ht="75" customHeight="1" x14ac:dyDescent="0.2">
      <c r="A26" s="21"/>
      <c r="B26" s="24" t="s">
        <v>54</v>
      </c>
      <c r="C26" s="84" t="s">
        <v>166</v>
      </c>
      <c r="D26" s="84"/>
      <c r="E26" s="84"/>
      <c r="F26" s="84"/>
      <c r="G26" s="84"/>
      <c r="H26" s="84"/>
      <c r="I26" s="84" t="s">
        <v>167</v>
      </c>
      <c r="J26" s="84"/>
      <c r="K26" s="84"/>
      <c r="L26" s="84" t="s">
        <v>168</v>
      </c>
      <c r="M26" s="84"/>
      <c r="N26" s="84"/>
      <c r="O26" s="84"/>
      <c r="P26" s="25" t="s">
        <v>42</v>
      </c>
      <c r="Q26" s="25" t="s">
        <v>74</v>
      </c>
      <c r="R26" s="25" t="s">
        <v>123</v>
      </c>
      <c r="S26" s="25">
        <v>100</v>
      </c>
      <c r="T26" s="25">
        <v>100</v>
      </c>
      <c r="U26" s="26">
        <f>100</f>
        <v>100</v>
      </c>
    </row>
    <row r="27" spans="1:22" ht="75" customHeight="1" x14ac:dyDescent="0.2">
      <c r="A27" s="21"/>
      <c r="B27" s="24" t="s">
        <v>54</v>
      </c>
      <c r="C27" s="84" t="s">
        <v>169</v>
      </c>
      <c r="D27" s="84"/>
      <c r="E27" s="84"/>
      <c r="F27" s="84"/>
      <c r="G27" s="84"/>
      <c r="H27" s="84"/>
      <c r="I27" s="84" t="s">
        <v>170</v>
      </c>
      <c r="J27" s="84"/>
      <c r="K27" s="84"/>
      <c r="L27" s="84" t="s">
        <v>171</v>
      </c>
      <c r="M27" s="84"/>
      <c r="N27" s="84"/>
      <c r="O27" s="84"/>
      <c r="P27" s="25" t="s">
        <v>42</v>
      </c>
      <c r="Q27" s="25" t="s">
        <v>74</v>
      </c>
      <c r="R27" s="25" t="s">
        <v>123</v>
      </c>
      <c r="S27" s="25">
        <v>100</v>
      </c>
      <c r="T27" s="25">
        <v>98.11</v>
      </c>
      <c r="U27" s="26">
        <f>98.11</f>
        <v>98.11</v>
      </c>
    </row>
    <row r="28" spans="1:22" ht="75" customHeight="1" thickBot="1" x14ac:dyDescent="0.25">
      <c r="A28" s="21"/>
      <c r="B28" s="24" t="s">
        <v>54</v>
      </c>
      <c r="C28" s="84" t="s">
        <v>172</v>
      </c>
      <c r="D28" s="84"/>
      <c r="E28" s="84"/>
      <c r="F28" s="84"/>
      <c r="G28" s="84"/>
      <c r="H28" s="84"/>
      <c r="I28" s="84" t="s">
        <v>173</v>
      </c>
      <c r="J28" s="84"/>
      <c r="K28" s="84"/>
      <c r="L28" s="84" t="s">
        <v>174</v>
      </c>
      <c r="M28" s="84"/>
      <c r="N28" s="84"/>
      <c r="O28" s="84"/>
      <c r="P28" s="25" t="s">
        <v>42</v>
      </c>
      <c r="Q28" s="25" t="s">
        <v>74</v>
      </c>
      <c r="R28" s="25" t="s">
        <v>123</v>
      </c>
      <c r="S28" s="25">
        <v>100</v>
      </c>
      <c r="T28" s="25">
        <v>100</v>
      </c>
      <c r="U28" s="26">
        <f>100</f>
        <v>100</v>
      </c>
    </row>
    <row r="29" spans="1:22" ht="14.25" customHeight="1" thickTop="1" thickBot="1" x14ac:dyDescent="0.25">
      <c r="B29" s="4" t="s">
        <v>92</v>
      </c>
      <c r="C29" s="5"/>
      <c r="D29" s="5"/>
      <c r="E29" s="5"/>
      <c r="F29" s="5"/>
      <c r="G29" s="5"/>
      <c r="H29" s="6"/>
      <c r="I29" s="6"/>
      <c r="J29" s="6"/>
      <c r="K29" s="6"/>
      <c r="L29" s="6"/>
      <c r="M29" s="6"/>
      <c r="N29" s="6"/>
      <c r="O29" s="6"/>
      <c r="P29" s="6"/>
      <c r="Q29" s="6"/>
      <c r="R29" s="6"/>
      <c r="S29" s="6"/>
      <c r="T29" s="6"/>
      <c r="U29" s="7"/>
      <c r="V29" s="27"/>
    </row>
    <row r="30" spans="1:22" ht="26.25" customHeight="1" thickTop="1" x14ac:dyDescent="0.2">
      <c r="B30" s="28"/>
      <c r="C30" s="29"/>
      <c r="D30" s="29"/>
      <c r="E30" s="29"/>
      <c r="F30" s="29"/>
      <c r="G30" s="29"/>
      <c r="H30" s="30"/>
      <c r="I30" s="30"/>
      <c r="J30" s="30"/>
      <c r="K30" s="30"/>
      <c r="L30" s="30"/>
      <c r="M30" s="30"/>
      <c r="N30" s="30"/>
      <c r="O30" s="30"/>
      <c r="P30" s="30"/>
      <c r="Q30" s="30"/>
      <c r="R30" s="31"/>
      <c r="S30" s="32" t="s">
        <v>33</v>
      </c>
      <c r="T30" s="32" t="s">
        <v>93</v>
      </c>
      <c r="U30" s="18" t="s">
        <v>94</v>
      </c>
    </row>
    <row r="31" spans="1:22" ht="26.25" customHeight="1" thickBot="1" x14ac:dyDescent="0.25">
      <c r="B31" s="33"/>
      <c r="C31" s="34"/>
      <c r="D31" s="34"/>
      <c r="E31" s="34"/>
      <c r="F31" s="34"/>
      <c r="G31" s="34"/>
      <c r="H31" s="35"/>
      <c r="I31" s="35"/>
      <c r="J31" s="35"/>
      <c r="K31" s="35"/>
      <c r="L31" s="35"/>
      <c r="M31" s="35"/>
      <c r="N31" s="35"/>
      <c r="O31" s="35"/>
      <c r="P31" s="35"/>
      <c r="Q31" s="35"/>
      <c r="R31" s="35"/>
      <c r="S31" s="36" t="s">
        <v>95</v>
      </c>
      <c r="T31" s="37" t="s">
        <v>95</v>
      </c>
      <c r="U31" s="37" t="s">
        <v>96</v>
      </c>
    </row>
    <row r="32" spans="1:22" ht="13.5" customHeight="1" thickBot="1" x14ac:dyDescent="0.25">
      <c r="B32" s="88" t="s">
        <v>97</v>
      </c>
      <c r="C32" s="89"/>
      <c r="D32" s="89"/>
      <c r="E32" s="38"/>
      <c r="F32" s="38"/>
      <c r="G32" s="38"/>
      <c r="H32" s="39"/>
      <c r="I32" s="39"/>
      <c r="J32" s="39"/>
      <c r="K32" s="39"/>
      <c r="L32" s="39"/>
      <c r="M32" s="39"/>
      <c r="N32" s="39"/>
      <c r="O32" s="39"/>
      <c r="P32" s="40"/>
      <c r="Q32" s="40"/>
      <c r="R32" s="40"/>
      <c r="S32" s="48">
        <v>861.581504</v>
      </c>
      <c r="T32" s="48">
        <v>1236.3276272799999</v>
      </c>
      <c r="U32" s="49">
        <f>+IF(ISERR(T32/S32*100),"N/A",ROUND(T32/S32*100,1))</f>
        <v>143.5</v>
      </c>
    </row>
    <row r="33" spans="2:21" ht="13.5" customHeight="1" thickBot="1" x14ac:dyDescent="0.25">
      <c r="B33" s="90" t="s">
        <v>98</v>
      </c>
      <c r="C33" s="91"/>
      <c r="D33" s="91"/>
      <c r="E33" s="41"/>
      <c r="F33" s="41"/>
      <c r="G33" s="41"/>
      <c r="H33" s="42"/>
      <c r="I33" s="42"/>
      <c r="J33" s="42"/>
      <c r="K33" s="42"/>
      <c r="L33" s="42"/>
      <c r="M33" s="42"/>
      <c r="N33" s="42"/>
      <c r="O33" s="42"/>
      <c r="P33" s="43"/>
      <c r="Q33" s="43"/>
      <c r="R33" s="43"/>
      <c r="S33" s="48">
        <v>1236.3276272799999</v>
      </c>
      <c r="T33" s="48">
        <v>1236.3276272799999</v>
      </c>
      <c r="U33" s="49">
        <f>+IF(ISERR(T33/S33*100),"N/A",ROUND(T33/S33*100,1))</f>
        <v>100</v>
      </c>
    </row>
    <row r="34" spans="2:21" ht="14.85" customHeight="1" thickTop="1" thickBot="1" x14ac:dyDescent="0.25">
      <c r="B34" s="4" t="s">
        <v>99</v>
      </c>
      <c r="C34" s="5"/>
      <c r="D34" s="5"/>
      <c r="E34" s="5"/>
      <c r="F34" s="5"/>
      <c r="G34" s="5"/>
      <c r="H34" s="6"/>
      <c r="I34" s="6"/>
      <c r="J34" s="6"/>
      <c r="K34" s="6"/>
      <c r="L34" s="6"/>
      <c r="M34" s="6"/>
      <c r="N34" s="6"/>
      <c r="O34" s="6"/>
      <c r="P34" s="6"/>
      <c r="Q34" s="6"/>
      <c r="R34" s="6"/>
      <c r="S34" s="6"/>
      <c r="T34" s="6"/>
      <c r="U34" s="7"/>
    </row>
    <row r="35" spans="2:21" ht="44.25" customHeight="1" thickTop="1" x14ac:dyDescent="0.2">
      <c r="B35" s="92" t="s">
        <v>100</v>
      </c>
      <c r="C35" s="93"/>
      <c r="D35" s="93"/>
      <c r="E35" s="93"/>
      <c r="F35" s="93"/>
      <c r="G35" s="93"/>
      <c r="H35" s="93"/>
      <c r="I35" s="93"/>
      <c r="J35" s="93"/>
      <c r="K35" s="93"/>
      <c r="L35" s="93"/>
      <c r="M35" s="93"/>
      <c r="N35" s="93"/>
      <c r="O35" s="93"/>
      <c r="P35" s="93"/>
      <c r="Q35" s="93"/>
      <c r="R35" s="93"/>
      <c r="S35" s="93"/>
      <c r="T35" s="93"/>
      <c r="U35" s="94"/>
    </row>
    <row r="36" spans="2:21" ht="59.25" customHeight="1" x14ac:dyDescent="0.2">
      <c r="B36" s="85" t="s">
        <v>175</v>
      </c>
      <c r="C36" s="86"/>
      <c r="D36" s="86"/>
      <c r="E36" s="86"/>
      <c r="F36" s="86"/>
      <c r="G36" s="86"/>
      <c r="H36" s="86"/>
      <c r="I36" s="86"/>
      <c r="J36" s="86"/>
      <c r="K36" s="86"/>
      <c r="L36" s="86"/>
      <c r="M36" s="86"/>
      <c r="N36" s="86"/>
      <c r="O36" s="86"/>
      <c r="P36" s="86"/>
      <c r="Q36" s="86"/>
      <c r="R36" s="86"/>
      <c r="S36" s="86"/>
      <c r="T36" s="86"/>
      <c r="U36" s="87"/>
    </row>
    <row r="37" spans="2:21" ht="88.5" customHeight="1" x14ac:dyDescent="0.2">
      <c r="B37" s="85" t="s">
        <v>176</v>
      </c>
      <c r="C37" s="86"/>
      <c r="D37" s="86"/>
      <c r="E37" s="86"/>
      <c r="F37" s="86"/>
      <c r="G37" s="86"/>
      <c r="H37" s="86"/>
      <c r="I37" s="86"/>
      <c r="J37" s="86"/>
      <c r="K37" s="86"/>
      <c r="L37" s="86"/>
      <c r="M37" s="86"/>
      <c r="N37" s="86"/>
      <c r="O37" s="86"/>
      <c r="P37" s="86"/>
      <c r="Q37" s="86"/>
      <c r="R37" s="86"/>
      <c r="S37" s="86"/>
      <c r="T37" s="86"/>
      <c r="U37" s="87"/>
    </row>
    <row r="38" spans="2:21" ht="66.95" customHeight="1" x14ac:dyDescent="0.2">
      <c r="B38" s="85" t="s">
        <v>177</v>
      </c>
      <c r="C38" s="86"/>
      <c r="D38" s="86"/>
      <c r="E38" s="86"/>
      <c r="F38" s="86"/>
      <c r="G38" s="86"/>
      <c r="H38" s="86"/>
      <c r="I38" s="86"/>
      <c r="J38" s="86"/>
      <c r="K38" s="86"/>
      <c r="L38" s="86"/>
      <c r="M38" s="86"/>
      <c r="N38" s="86"/>
      <c r="O38" s="86"/>
      <c r="P38" s="86"/>
      <c r="Q38" s="86"/>
      <c r="R38" s="86"/>
      <c r="S38" s="86"/>
      <c r="T38" s="86"/>
      <c r="U38" s="87"/>
    </row>
    <row r="39" spans="2:21" ht="78.599999999999994" customHeight="1" x14ac:dyDescent="0.2">
      <c r="B39" s="85" t="s">
        <v>178</v>
      </c>
      <c r="C39" s="86"/>
      <c r="D39" s="86"/>
      <c r="E39" s="86"/>
      <c r="F39" s="86"/>
      <c r="G39" s="86"/>
      <c r="H39" s="86"/>
      <c r="I39" s="86"/>
      <c r="J39" s="86"/>
      <c r="K39" s="86"/>
      <c r="L39" s="86"/>
      <c r="M39" s="86"/>
      <c r="N39" s="86"/>
      <c r="O39" s="86"/>
      <c r="P39" s="86"/>
      <c r="Q39" s="86"/>
      <c r="R39" s="86"/>
      <c r="S39" s="86"/>
      <c r="T39" s="86"/>
      <c r="U39" s="87"/>
    </row>
    <row r="40" spans="2:21" ht="73.5" customHeight="1" x14ac:dyDescent="0.2">
      <c r="B40" s="85" t="s">
        <v>179</v>
      </c>
      <c r="C40" s="86"/>
      <c r="D40" s="86"/>
      <c r="E40" s="86"/>
      <c r="F40" s="86"/>
      <c r="G40" s="86"/>
      <c r="H40" s="86"/>
      <c r="I40" s="86"/>
      <c r="J40" s="86"/>
      <c r="K40" s="86"/>
      <c r="L40" s="86"/>
      <c r="M40" s="86"/>
      <c r="N40" s="86"/>
      <c r="O40" s="86"/>
      <c r="P40" s="86"/>
      <c r="Q40" s="86"/>
      <c r="R40" s="86"/>
      <c r="S40" s="86"/>
      <c r="T40" s="86"/>
      <c r="U40" s="87"/>
    </row>
    <row r="41" spans="2:21" ht="52.5" customHeight="1" x14ac:dyDescent="0.2">
      <c r="B41" s="85" t="s">
        <v>180</v>
      </c>
      <c r="C41" s="86"/>
      <c r="D41" s="86"/>
      <c r="E41" s="86"/>
      <c r="F41" s="86"/>
      <c r="G41" s="86"/>
      <c r="H41" s="86"/>
      <c r="I41" s="86"/>
      <c r="J41" s="86"/>
      <c r="K41" s="86"/>
      <c r="L41" s="86"/>
      <c r="M41" s="86"/>
      <c r="N41" s="86"/>
      <c r="O41" s="86"/>
      <c r="P41" s="86"/>
      <c r="Q41" s="86"/>
      <c r="R41" s="86"/>
      <c r="S41" s="86"/>
      <c r="T41" s="86"/>
      <c r="U41" s="87"/>
    </row>
    <row r="42" spans="2:21" ht="54" customHeight="1" x14ac:dyDescent="0.2">
      <c r="B42" s="85" t="s">
        <v>181</v>
      </c>
      <c r="C42" s="86"/>
      <c r="D42" s="86"/>
      <c r="E42" s="86"/>
      <c r="F42" s="86"/>
      <c r="G42" s="86"/>
      <c r="H42" s="86"/>
      <c r="I42" s="86"/>
      <c r="J42" s="86"/>
      <c r="K42" s="86"/>
      <c r="L42" s="86"/>
      <c r="M42" s="86"/>
      <c r="N42" s="86"/>
      <c r="O42" s="86"/>
      <c r="P42" s="86"/>
      <c r="Q42" s="86"/>
      <c r="R42" s="86"/>
      <c r="S42" s="86"/>
      <c r="T42" s="86"/>
      <c r="U42" s="87"/>
    </row>
    <row r="43" spans="2:21" ht="74.25" customHeight="1" x14ac:dyDescent="0.2">
      <c r="B43" s="85" t="s">
        <v>182</v>
      </c>
      <c r="C43" s="86"/>
      <c r="D43" s="86"/>
      <c r="E43" s="86"/>
      <c r="F43" s="86"/>
      <c r="G43" s="86"/>
      <c r="H43" s="86"/>
      <c r="I43" s="86"/>
      <c r="J43" s="86"/>
      <c r="K43" s="86"/>
      <c r="L43" s="86"/>
      <c r="M43" s="86"/>
      <c r="N43" s="86"/>
      <c r="O43" s="86"/>
      <c r="P43" s="86"/>
      <c r="Q43" s="86"/>
      <c r="R43" s="86"/>
      <c r="S43" s="86"/>
      <c r="T43" s="86"/>
      <c r="U43" s="87"/>
    </row>
    <row r="44" spans="2:21" ht="57.75" customHeight="1" x14ac:dyDescent="0.2">
      <c r="B44" s="85" t="s">
        <v>183</v>
      </c>
      <c r="C44" s="86"/>
      <c r="D44" s="86"/>
      <c r="E44" s="86"/>
      <c r="F44" s="86"/>
      <c r="G44" s="86"/>
      <c r="H44" s="86"/>
      <c r="I44" s="86"/>
      <c r="J44" s="86"/>
      <c r="K44" s="86"/>
      <c r="L44" s="86"/>
      <c r="M44" s="86"/>
      <c r="N44" s="86"/>
      <c r="O44" s="86"/>
      <c r="P44" s="86"/>
      <c r="Q44" s="86"/>
      <c r="R44" s="86"/>
      <c r="S44" s="86"/>
      <c r="T44" s="86"/>
      <c r="U44" s="87"/>
    </row>
    <row r="45" spans="2:21" ht="66.75" customHeight="1" x14ac:dyDescent="0.2">
      <c r="B45" s="85" t="s">
        <v>184</v>
      </c>
      <c r="C45" s="86"/>
      <c r="D45" s="86"/>
      <c r="E45" s="86"/>
      <c r="F45" s="86"/>
      <c r="G45" s="86"/>
      <c r="H45" s="86"/>
      <c r="I45" s="86"/>
      <c r="J45" s="86"/>
      <c r="K45" s="86"/>
      <c r="L45" s="86"/>
      <c r="M45" s="86"/>
      <c r="N45" s="86"/>
      <c r="O45" s="86"/>
      <c r="P45" s="86"/>
      <c r="Q45" s="86"/>
      <c r="R45" s="86"/>
      <c r="S45" s="86"/>
      <c r="T45" s="86"/>
      <c r="U45" s="87"/>
    </row>
    <row r="46" spans="2:21" ht="59.25" customHeight="1" x14ac:dyDescent="0.2">
      <c r="B46" s="85" t="s">
        <v>185</v>
      </c>
      <c r="C46" s="86"/>
      <c r="D46" s="86"/>
      <c r="E46" s="86"/>
      <c r="F46" s="86"/>
      <c r="G46" s="86"/>
      <c r="H46" s="86"/>
      <c r="I46" s="86"/>
      <c r="J46" s="86"/>
      <c r="K46" s="86"/>
      <c r="L46" s="86"/>
      <c r="M46" s="86"/>
      <c r="N46" s="86"/>
      <c r="O46" s="86"/>
      <c r="P46" s="86"/>
      <c r="Q46" s="86"/>
      <c r="R46" s="86"/>
      <c r="S46" s="86"/>
      <c r="T46" s="86"/>
      <c r="U46" s="87"/>
    </row>
    <row r="47" spans="2:21" ht="63.75" customHeight="1" x14ac:dyDescent="0.2">
      <c r="B47" s="85" t="s">
        <v>186</v>
      </c>
      <c r="C47" s="86"/>
      <c r="D47" s="86"/>
      <c r="E47" s="86"/>
      <c r="F47" s="86"/>
      <c r="G47" s="86"/>
      <c r="H47" s="86"/>
      <c r="I47" s="86"/>
      <c r="J47" s="86"/>
      <c r="K47" s="86"/>
      <c r="L47" s="86"/>
      <c r="M47" s="86"/>
      <c r="N47" s="86"/>
      <c r="O47" s="86"/>
      <c r="P47" s="86"/>
      <c r="Q47" s="86"/>
      <c r="R47" s="86"/>
      <c r="S47" s="86"/>
      <c r="T47" s="86"/>
      <c r="U47" s="87"/>
    </row>
    <row r="48" spans="2:21" ht="59.25" customHeight="1" x14ac:dyDescent="0.2">
      <c r="B48" s="85" t="s">
        <v>187</v>
      </c>
      <c r="C48" s="86"/>
      <c r="D48" s="86"/>
      <c r="E48" s="86"/>
      <c r="F48" s="86"/>
      <c r="G48" s="86"/>
      <c r="H48" s="86"/>
      <c r="I48" s="86"/>
      <c r="J48" s="86"/>
      <c r="K48" s="86"/>
      <c r="L48" s="86"/>
      <c r="M48" s="86"/>
      <c r="N48" s="86"/>
      <c r="O48" s="86"/>
      <c r="P48" s="86"/>
      <c r="Q48" s="86"/>
      <c r="R48" s="86"/>
      <c r="S48" s="86"/>
      <c r="T48" s="86"/>
      <c r="U48" s="87"/>
    </row>
    <row r="49" spans="2:21" ht="59.25" customHeight="1" x14ac:dyDescent="0.2">
      <c r="B49" s="85" t="s">
        <v>188</v>
      </c>
      <c r="C49" s="86"/>
      <c r="D49" s="86"/>
      <c r="E49" s="86"/>
      <c r="F49" s="86"/>
      <c r="G49" s="86"/>
      <c r="H49" s="86"/>
      <c r="I49" s="86"/>
      <c r="J49" s="86"/>
      <c r="K49" s="86"/>
      <c r="L49" s="86"/>
      <c r="M49" s="86"/>
      <c r="N49" s="86"/>
      <c r="O49" s="86"/>
      <c r="P49" s="86"/>
      <c r="Q49" s="86"/>
      <c r="R49" s="86"/>
      <c r="S49" s="86"/>
      <c r="T49" s="86"/>
      <c r="U49" s="87"/>
    </row>
    <row r="50" spans="2:21" ht="78" customHeight="1" x14ac:dyDescent="0.2">
      <c r="B50" s="85" t="s">
        <v>189</v>
      </c>
      <c r="C50" s="86"/>
      <c r="D50" s="86"/>
      <c r="E50" s="86"/>
      <c r="F50" s="86"/>
      <c r="G50" s="86"/>
      <c r="H50" s="86"/>
      <c r="I50" s="86"/>
      <c r="J50" s="86"/>
      <c r="K50" s="86"/>
      <c r="L50" s="86"/>
      <c r="M50" s="86"/>
      <c r="N50" s="86"/>
      <c r="O50" s="86"/>
      <c r="P50" s="86"/>
      <c r="Q50" s="86"/>
      <c r="R50" s="86"/>
      <c r="S50" s="86"/>
      <c r="T50" s="86"/>
      <c r="U50" s="87"/>
    </row>
    <row r="51" spans="2:21" ht="57.75" customHeight="1" x14ac:dyDescent="0.2">
      <c r="B51" s="85" t="s">
        <v>190</v>
      </c>
      <c r="C51" s="86"/>
      <c r="D51" s="86"/>
      <c r="E51" s="86"/>
      <c r="F51" s="86"/>
      <c r="G51" s="86"/>
      <c r="H51" s="86"/>
      <c r="I51" s="86"/>
      <c r="J51" s="86"/>
      <c r="K51" s="86"/>
      <c r="L51" s="86"/>
      <c r="M51" s="86"/>
      <c r="N51" s="86"/>
      <c r="O51" s="86"/>
      <c r="P51" s="86"/>
      <c r="Q51" s="86"/>
      <c r="R51" s="86"/>
      <c r="S51" s="86"/>
      <c r="T51" s="86"/>
      <c r="U51" s="87"/>
    </row>
    <row r="52" spans="2:21" ht="59.25" customHeight="1" x14ac:dyDescent="0.2">
      <c r="B52" s="85" t="s">
        <v>191</v>
      </c>
      <c r="C52" s="86"/>
      <c r="D52" s="86"/>
      <c r="E52" s="86"/>
      <c r="F52" s="86"/>
      <c r="G52" s="86"/>
      <c r="H52" s="86"/>
      <c r="I52" s="86"/>
      <c r="J52" s="86"/>
      <c r="K52" s="86"/>
      <c r="L52" s="86"/>
      <c r="M52" s="86"/>
      <c r="N52" s="86"/>
      <c r="O52" s="86"/>
      <c r="P52" s="86"/>
      <c r="Q52" s="86"/>
      <c r="R52" s="86"/>
      <c r="S52" s="86"/>
      <c r="T52" s="86"/>
      <c r="U52" s="87"/>
    </row>
    <row r="53" spans="2:21" ht="60.75" customHeight="1" thickBot="1" x14ac:dyDescent="0.25">
      <c r="B53" s="95" t="s">
        <v>192</v>
      </c>
      <c r="C53" s="96"/>
      <c r="D53" s="96"/>
      <c r="E53" s="96"/>
      <c r="F53" s="96"/>
      <c r="G53" s="96"/>
      <c r="H53" s="96"/>
      <c r="I53" s="96"/>
      <c r="J53" s="96"/>
      <c r="K53" s="96"/>
      <c r="L53" s="96"/>
      <c r="M53" s="96"/>
      <c r="N53" s="96"/>
      <c r="O53" s="96"/>
      <c r="P53" s="96"/>
      <c r="Q53" s="96"/>
      <c r="R53" s="96"/>
      <c r="S53" s="96"/>
      <c r="T53" s="96"/>
      <c r="U53" s="97"/>
    </row>
  </sheetData>
  <mergeCells count="96">
    <mergeCell ref="B53:U53"/>
    <mergeCell ref="B42:U42"/>
    <mergeCell ref="B43:U43"/>
    <mergeCell ref="B44:U44"/>
    <mergeCell ref="B45:U45"/>
    <mergeCell ref="B46:U46"/>
    <mergeCell ref="B47:U47"/>
    <mergeCell ref="B48:U48"/>
    <mergeCell ref="B49:U49"/>
    <mergeCell ref="B50:U50"/>
    <mergeCell ref="B51:U51"/>
    <mergeCell ref="B52:U52"/>
    <mergeCell ref="B41:U41"/>
    <mergeCell ref="C28:H28"/>
    <mergeCell ref="I28:K28"/>
    <mergeCell ref="L28:O28"/>
    <mergeCell ref="B32:D32"/>
    <mergeCell ref="B33:D33"/>
    <mergeCell ref="B35:U35"/>
    <mergeCell ref="B36:U36"/>
    <mergeCell ref="B37:U37"/>
    <mergeCell ref="B38:U38"/>
    <mergeCell ref="B39:U39"/>
    <mergeCell ref="B40:U40"/>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7"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193</v>
      </c>
      <c r="D4" s="57" t="s">
        <v>194</v>
      </c>
      <c r="E4" s="57"/>
      <c r="F4" s="57"/>
      <c r="G4" s="57"/>
      <c r="H4" s="57"/>
      <c r="I4" s="10"/>
      <c r="J4" s="11" t="s">
        <v>9</v>
      </c>
      <c r="K4" s="12" t="s">
        <v>10</v>
      </c>
      <c r="L4" s="58" t="s">
        <v>11</v>
      </c>
      <c r="M4" s="58"/>
      <c r="N4" s="58"/>
      <c r="O4" s="58"/>
      <c r="P4" s="11" t="s">
        <v>12</v>
      </c>
      <c r="Q4" s="58" t="s">
        <v>195</v>
      </c>
      <c r="R4" s="58"/>
      <c r="S4" s="11" t="s">
        <v>14</v>
      </c>
      <c r="T4" s="58" t="s">
        <v>196</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197</v>
      </c>
      <c r="D6" s="60"/>
      <c r="E6" s="60"/>
      <c r="F6" s="60"/>
      <c r="G6" s="60"/>
      <c r="H6" s="14"/>
      <c r="I6" s="14"/>
      <c r="J6" s="14" t="s">
        <v>18</v>
      </c>
      <c r="K6" s="60" t="s">
        <v>198</v>
      </c>
      <c r="L6" s="60"/>
      <c r="M6" s="60"/>
      <c r="N6" s="15"/>
      <c r="O6" s="16" t="s">
        <v>20</v>
      </c>
      <c r="P6" s="60" t="s">
        <v>199</v>
      </c>
      <c r="Q6" s="60"/>
      <c r="R6" s="17"/>
      <c r="S6" s="16" t="s">
        <v>22</v>
      </c>
      <c r="T6" s="60" t="s">
        <v>200</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36.7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75" customHeight="1" thickTop="1" thickBot="1" x14ac:dyDescent="0.25">
      <c r="A11" s="21"/>
      <c r="B11" s="22" t="s">
        <v>38</v>
      </c>
      <c r="C11" s="83" t="s">
        <v>201</v>
      </c>
      <c r="D11" s="83"/>
      <c r="E11" s="83"/>
      <c r="F11" s="83"/>
      <c r="G11" s="83"/>
      <c r="H11" s="83"/>
      <c r="I11" s="83" t="s">
        <v>202</v>
      </c>
      <c r="J11" s="83"/>
      <c r="K11" s="83"/>
      <c r="L11" s="83" t="s">
        <v>203</v>
      </c>
      <c r="M11" s="83"/>
      <c r="N11" s="83"/>
      <c r="O11" s="83"/>
      <c r="P11" s="23" t="s">
        <v>42</v>
      </c>
      <c r="Q11" s="23" t="s">
        <v>43</v>
      </c>
      <c r="R11" s="23">
        <v>6</v>
      </c>
      <c r="S11" s="23">
        <v>6.2</v>
      </c>
      <c r="T11" s="23">
        <v>6.88</v>
      </c>
      <c r="U11" s="47">
        <f>111</f>
        <v>111</v>
      </c>
    </row>
    <row r="12" spans="1:21" ht="82.5" customHeight="1" thickTop="1" thickBot="1" x14ac:dyDescent="0.25">
      <c r="A12" s="21"/>
      <c r="B12" s="22" t="s">
        <v>44</v>
      </c>
      <c r="C12" s="83" t="s">
        <v>204</v>
      </c>
      <c r="D12" s="83"/>
      <c r="E12" s="83"/>
      <c r="F12" s="83"/>
      <c r="G12" s="83"/>
      <c r="H12" s="83"/>
      <c r="I12" s="83" t="s">
        <v>205</v>
      </c>
      <c r="J12" s="83"/>
      <c r="K12" s="83"/>
      <c r="L12" s="83" t="s">
        <v>206</v>
      </c>
      <c r="M12" s="83"/>
      <c r="N12" s="83"/>
      <c r="O12" s="83"/>
      <c r="P12" s="23" t="s">
        <v>42</v>
      </c>
      <c r="Q12" s="23" t="s">
        <v>48</v>
      </c>
      <c r="R12" s="23">
        <v>9</v>
      </c>
      <c r="S12" s="23">
        <v>9</v>
      </c>
      <c r="T12" s="23">
        <v>26.47</v>
      </c>
      <c r="U12" s="47">
        <f>294.1</f>
        <v>294.10000000000002</v>
      </c>
    </row>
    <row r="13" spans="1:21" ht="75" customHeight="1" thickTop="1" x14ac:dyDescent="0.2">
      <c r="A13" s="21"/>
      <c r="B13" s="22" t="s">
        <v>49</v>
      </c>
      <c r="C13" s="83" t="s">
        <v>207</v>
      </c>
      <c r="D13" s="83"/>
      <c r="E13" s="83"/>
      <c r="F13" s="83"/>
      <c r="G13" s="83"/>
      <c r="H13" s="83"/>
      <c r="I13" s="83" t="s">
        <v>208</v>
      </c>
      <c r="J13" s="83"/>
      <c r="K13" s="83"/>
      <c r="L13" s="83" t="s">
        <v>209</v>
      </c>
      <c r="M13" s="83"/>
      <c r="N13" s="83"/>
      <c r="O13" s="83"/>
      <c r="P13" s="23" t="s">
        <v>42</v>
      </c>
      <c r="Q13" s="23" t="s">
        <v>134</v>
      </c>
      <c r="R13" s="23">
        <v>9</v>
      </c>
      <c r="S13" s="23">
        <v>22</v>
      </c>
      <c r="T13" s="23">
        <v>49.26</v>
      </c>
      <c r="U13" s="47">
        <f>223.9</f>
        <v>223.9</v>
      </c>
    </row>
    <row r="14" spans="1:21" ht="75" customHeight="1" thickBot="1" x14ac:dyDescent="0.25">
      <c r="A14" s="21"/>
      <c r="B14" s="24" t="s">
        <v>54</v>
      </c>
      <c r="C14" s="84" t="s">
        <v>54</v>
      </c>
      <c r="D14" s="84"/>
      <c r="E14" s="84"/>
      <c r="F14" s="84"/>
      <c r="G14" s="84"/>
      <c r="H14" s="84"/>
      <c r="I14" s="84" t="s">
        <v>210</v>
      </c>
      <c r="J14" s="84"/>
      <c r="K14" s="84"/>
      <c r="L14" s="84" t="s">
        <v>211</v>
      </c>
      <c r="M14" s="84"/>
      <c r="N14" s="84"/>
      <c r="O14" s="84"/>
      <c r="P14" s="25" t="s">
        <v>42</v>
      </c>
      <c r="Q14" s="25" t="s">
        <v>212</v>
      </c>
      <c r="R14" s="25">
        <v>95</v>
      </c>
      <c r="S14" s="25">
        <v>95</v>
      </c>
      <c r="T14" s="25">
        <v>100</v>
      </c>
      <c r="U14" s="26">
        <f>105.3</f>
        <v>105.3</v>
      </c>
    </row>
    <row r="15" spans="1:21" ht="75" customHeight="1" thickTop="1" x14ac:dyDescent="0.2">
      <c r="A15" s="21"/>
      <c r="B15" s="22" t="s">
        <v>63</v>
      </c>
      <c r="C15" s="83" t="s">
        <v>213</v>
      </c>
      <c r="D15" s="83"/>
      <c r="E15" s="83"/>
      <c r="F15" s="83"/>
      <c r="G15" s="83"/>
      <c r="H15" s="83"/>
      <c r="I15" s="83" t="s">
        <v>214</v>
      </c>
      <c r="J15" s="83"/>
      <c r="K15" s="83"/>
      <c r="L15" s="83" t="s">
        <v>215</v>
      </c>
      <c r="M15" s="83"/>
      <c r="N15" s="83"/>
      <c r="O15" s="83"/>
      <c r="P15" s="23" t="s">
        <v>42</v>
      </c>
      <c r="Q15" s="23" t="s">
        <v>74</v>
      </c>
      <c r="R15" s="23">
        <v>85</v>
      </c>
      <c r="S15" s="23">
        <v>85</v>
      </c>
      <c r="T15" s="23">
        <v>70.41</v>
      </c>
      <c r="U15" s="47">
        <f>82.8</f>
        <v>82.8</v>
      </c>
    </row>
    <row r="16" spans="1:21" ht="75" customHeight="1" thickBot="1" x14ac:dyDescent="0.25">
      <c r="A16" s="21"/>
      <c r="B16" s="24" t="s">
        <v>54</v>
      </c>
      <c r="C16" s="84" t="s">
        <v>216</v>
      </c>
      <c r="D16" s="84"/>
      <c r="E16" s="84"/>
      <c r="F16" s="84"/>
      <c r="G16" s="84"/>
      <c r="H16" s="84"/>
      <c r="I16" s="84" t="s">
        <v>217</v>
      </c>
      <c r="J16" s="84"/>
      <c r="K16" s="84"/>
      <c r="L16" s="84" t="s">
        <v>218</v>
      </c>
      <c r="M16" s="84"/>
      <c r="N16" s="84"/>
      <c r="O16" s="84"/>
      <c r="P16" s="25" t="s">
        <v>42</v>
      </c>
      <c r="Q16" s="25" t="s">
        <v>84</v>
      </c>
      <c r="R16" s="25" t="s">
        <v>123</v>
      </c>
      <c r="S16" s="25">
        <v>80</v>
      </c>
      <c r="T16" s="25">
        <v>41.78</v>
      </c>
      <c r="U16" s="26">
        <f>52.2</f>
        <v>52.2</v>
      </c>
    </row>
    <row r="17" spans="2:22" ht="14.25" customHeight="1" thickTop="1" thickBot="1" x14ac:dyDescent="0.25">
      <c r="B17" s="4" t="s">
        <v>92</v>
      </c>
      <c r="C17" s="5"/>
      <c r="D17" s="5"/>
      <c r="E17" s="5"/>
      <c r="F17" s="5"/>
      <c r="G17" s="5"/>
      <c r="H17" s="6"/>
      <c r="I17" s="6"/>
      <c r="J17" s="6"/>
      <c r="K17" s="6"/>
      <c r="L17" s="6"/>
      <c r="M17" s="6"/>
      <c r="N17" s="6"/>
      <c r="O17" s="6"/>
      <c r="P17" s="6"/>
      <c r="Q17" s="6"/>
      <c r="R17" s="6"/>
      <c r="S17" s="6"/>
      <c r="T17" s="6"/>
      <c r="U17" s="7"/>
      <c r="V17" s="27"/>
    </row>
    <row r="18" spans="2:22" ht="26.25" customHeight="1" thickTop="1" x14ac:dyDescent="0.2">
      <c r="B18" s="28"/>
      <c r="C18" s="29"/>
      <c r="D18" s="29"/>
      <c r="E18" s="29"/>
      <c r="F18" s="29"/>
      <c r="G18" s="29"/>
      <c r="H18" s="30"/>
      <c r="I18" s="30"/>
      <c r="J18" s="30"/>
      <c r="K18" s="30"/>
      <c r="L18" s="30"/>
      <c r="M18" s="30"/>
      <c r="N18" s="30"/>
      <c r="O18" s="30"/>
      <c r="P18" s="30"/>
      <c r="Q18" s="30"/>
      <c r="R18" s="31"/>
      <c r="S18" s="32" t="s">
        <v>33</v>
      </c>
      <c r="T18" s="32" t="s">
        <v>93</v>
      </c>
      <c r="U18" s="18" t="s">
        <v>94</v>
      </c>
    </row>
    <row r="19" spans="2:22" ht="26.25" customHeight="1" thickBot="1" x14ac:dyDescent="0.25">
      <c r="B19" s="33"/>
      <c r="C19" s="34"/>
      <c r="D19" s="34"/>
      <c r="E19" s="34"/>
      <c r="F19" s="34"/>
      <c r="G19" s="34"/>
      <c r="H19" s="35"/>
      <c r="I19" s="35"/>
      <c r="J19" s="35"/>
      <c r="K19" s="35"/>
      <c r="L19" s="35"/>
      <c r="M19" s="35"/>
      <c r="N19" s="35"/>
      <c r="O19" s="35"/>
      <c r="P19" s="35"/>
      <c r="Q19" s="35"/>
      <c r="R19" s="35"/>
      <c r="S19" s="36" t="s">
        <v>95</v>
      </c>
      <c r="T19" s="37" t="s">
        <v>95</v>
      </c>
      <c r="U19" s="37" t="s">
        <v>96</v>
      </c>
    </row>
    <row r="20" spans="2:22" ht="13.5" customHeight="1" thickBot="1" x14ac:dyDescent="0.25">
      <c r="B20" s="88" t="s">
        <v>97</v>
      </c>
      <c r="C20" s="89"/>
      <c r="D20" s="89"/>
      <c r="E20" s="38"/>
      <c r="F20" s="38"/>
      <c r="G20" s="38"/>
      <c r="H20" s="39"/>
      <c r="I20" s="39"/>
      <c r="J20" s="39"/>
      <c r="K20" s="39"/>
      <c r="L20" s="39"/>
      <c r="M20" s="39"/>
      <c r="N20" s="39"/>
      <c r="O20" s="39"/>
      <c r="P20" s="40"/>
      <c r="Q20" s="40"/>
      <c r="R20" s="40"/>
      <c r="S20" s="48">
        <v>385.7</v>
      </c>
      <c r="T20" s="48">
        <v>705.7</v>
      </c>
      <c r="U20" s="49">
        <f>+IF(ISERR(T20/S20*100),"N/A",ROUND(T20/S20*100,1))</f>
        <v>183</v>
      </c>
    </row>
    <row r="21" spans="2:22" ht="13.5" customHeight="1" thickBot="1" x14ac:dyDescent="0.25">
      <c r="B21" s="90" t="s">
        <v>98</v>
      </c>
      <c r="C21" s="91"/>
      <c r="D21" s="91"/>
      <c r="E21" s="41"/>
      <c r="F21" s="41"/>
      <c r="G21" s="41"/>
      <c r="H21" s="42"/>
      <c r="I21" s="42"/>
      <c r="J21" s="42"/>
      <c r="K21" s="42"/>
      <c r="L21" s="42"/>
      <c r="M21" s="42"/>
      <c r="N21" s="42"/>
      <c r="O21" s="42"/>
      <c r="P21" s="43"/>
      <c r="Q21" s="43"/>
      <c r="R21" s="43"/>
      <c r="S21" s="48">
        <v>705.7</v>
      </c>
      <c r="T21" s="48">
        <v>705.7</v>
      </c>
      <c r="U21" s="49">
        <f>+IF(ISERR(T21/S21*100),"N/A",ROUND(T21/S21*100,1))</f>
        <v>100</v>
      </c>
    </row>
    <row r="22" spans="2:22" ht="14.85" customHeight="1" thickTop="1" thickBot="1" x14ac:dyDescent="0.25">
      <c r="B22" s="4" t="s">
        <v>99</v>
      </c>
      <c r="C22" s="5"/>
      <c r="D22" s="5"/>
      <c r="E22" s="5"/>
      <c r="F22" s="5"/>
      <c r="G22" s="5"/>
      <c r="H22" s="6"/>
      <c r="I22" s="6"/>
      <c r="J22" s="6"/>
      <c r="K22" s="6"/>
      <c r="L22" s="6"/>
      <c r="M22" s="6"/>
      <c r="N22" s="6"/>
      <c r="O22" s="6"/>
      <c r="P22" s="6"/>
      <c r="Q22" s="6"/>
      <c r="R22" s="6"/>
      <c r="S22" s="6"/>
      <c r="T22" s="6"/>
      <c r="U22" s="7"/>
    </row>
    <row r="23" spans="2:22" ht="44.25" customHeight="1" thickTop="1" x14ac:dyDescent="0.2">
      <c r="B23" s="92" t="s">
        <v>100</v>
      </c>
      <c r="C23" s="93"/>
      <c r="D23" s="93"/>
      <c r="E23" s="93"/>
      <c r="F23" s="93"/>
      <c r="G23" s="93"/>
      <c r="H23" s="93"/>
      <c r="I23" s="93"/>
      <c r="J23" s="93"/>
      <c r="K23" s="93"/>
      <c r="L23" s="93"/>
      <c r="M23" s="93"/>
      <c r="N23" s="93"/>
      <c r="O23" s="93"/>
      <c r="P23" s="93"/>
      <c r="Q23" s="93"/>
      <c r="R23" s="93"/>
      <c r="S23" s="93"/>
      <c r="T23" s="93"/>
      <c r="U23" s="94"/>
    </row>
    <row r="24" spans="2:22" ht="151.5" customHeight="1" x14ac:dyDescent="0.2">
      <c r="B24" s="85" t="s">
        <v>219</v>
      </c>
      <c r="C24" s="86"/>
      <c r="D24" s="86"/>
      <c r="E24" s="86"/>
      <c r="F24" s="86"/>
      <c r="G24" s="86"/>
      <c r="H24" s="86"/>
      <c r="I24" s="86"/>
      <c r="J24" s="86"/>
      <c r="K24" s="86"/>
      <c r="L24" s="86"/>
      <c r="M24" s="86"/>
      <c r="N24" s="86"/>
      <c r="O24" s="86"/>
      <c r="P24" s="86"/>
      <c r="Q24" s="86"/>
      <c r="R24" s="86"/>
      <c r="S24" s="86"/>
      <c r="T24" s="86"/>
      <c r="U24" s="87"/>
    </row>
    <row r="25" spans="2:22" ht="144.94999999999999" customHeight="1" x14ac:dyDescent="0.2">
      <c r="B25" s="85" t="s">
        <v>220</v>
      </c>
      <c r="C25" s="86"/>
      <c r="D25" s="86"/>
      <c r="E25" s="86"/>
      <c r="F25" s="86"/>
      <c r="G25" s="86"/>
      <c r="H25" s="86"/>
      <c r="I25" s="86"/>
      <c r="J25" s="86"/>
      <c r="K25" s="86"/>
      <c r="L25" s="86"/>
      <c r="M25" s="86"/>
      <c r="N25" s="86"/>
      <c r="O25" s="86"/>
      <c r="P25" s="86"/>
      <c r="Q25" s="86"/>
      <c r="R25" s="86"/>
      <c r="S25" s="86"/>
      <c r="T25" s="86"/>
      <c r="U25" s="87"/>
    </row>
    <row r="26" spans="2:22" ht="128.44999999999999" customHeight="1" x14ac:dyDescent="0.2">
      <c r="B26" s="85" t="s">
        <v>221</v>
      </c>
      <c r="C26" s="86"/>
      <c r="D26" s="86"/>
      <c r="E26" s="86"/>
      <c r="F26" s="86"/>
      <c r="G26" s="86"/>
      <c r="H26" s="86"/>
      <c r="I26" s="86"/>
      <c r="J26" s="86"/>
      <c r="K26" s="86"/>
      <c r="L26" s="86"/>
      <c r="M26" s="86"/>
      <c r="N26" s="86"/>
      <c r="O26" s="86"/>
      <c r="P26" s="86"/>
      <c r="Q26" s="86"/>
      <c r="R26" s="86"/>
      <c r="S26" s="86"/>
      <c r="T26" s="86"/>
      <c r="U26" s="87"/>
    </row>
    <row r="27" spans="2:22" ht="134.1" customHeight="1" x14ac:dyDescent="0.2">
      <c r="B27" s="85" t="s">
        <v>222</v>
      </c>
      <c r="C27" s="86"/>
      <c r="D27" s="86"/>
      <c r="E27" s="86"/>
      <c r="F27" s="86"/>
      <c r="G27" s="86"/>
      <c r="H27" s="86"/>
      <c r="I27" s="86"/>
      <c r="J27" s="86"/>
      <c r="K27" s="86"/>
      <c r="L27" s="86"/>
      <c r="M27" s="86"/>
      <c r="N27" s="86"/>
      <c r="O27" s="86"/>
      <c r="P27" s="86"/>
      <c r="Q27" s="86"/>
      <c r="R27" s="86"/>
      <c r="S27" s="86"/>
      <c r="T27" s="86"/>
      <c r="U27" s="87"/>
    </row>
    <row r="28" spans="2:22" ht="116.25" customHeight="1" x14ac:dyDescent="0.2">
      <c r="B28" s="85" t="s">
        <v>223</v>
      </c>
      <c r="C28" s="86"/>
      <c r="D28" s="86"/>
      <c r="E28" s="86"/>
      <c r="F28" s="86"/>
      <c r="G28" s="86"/>
      <c r="H28" s="86"/>
      <c r="I28" s="86"/>
      <c r="J28" s="86"/>
      <c r="K28" s="86"/>
      <c r="L28" s="86"/>
      <c r="M28" s="86"/>
      <c r="N28" s="86"/>
      <c r="O28" s="86"/>
      <c r="P28" s="86"/>
      <c r="Q28" s="86"/>
      <c r="R28" s="86"/>
      <c r="S28" s="86"/>
      <c r="T28" s="86"/>
      <c r="U28" s="87"/>
    </row>
    <row r="29" spans="2:22" ht="129.75" customHeight="1" thickBot="1" x14ac:dyDescent="0.25">
      <c r="B29" s="95" t="s">
        <v>224</v>
      </c>
      <c r="C29" s="96"/>
      <c r="D29" s="96"/>
      <c r="E29" s="96"/>
      <c r="F29" s="96"/>
      <c r="G29" s="96"/>
      <c r="H29" s="96"/>
      <c r="I29" s="96"/>
      <c r="J29" s="96"/>
      <c r="K29" s="96"/>
      <c r="L29" s="96"/>
      <c r="M29" s="96"/>
      <c r="N29" s="96"/>
      <c r="O29" s="96"/>
      <c r="P29" s="96"/>
      <c r="Q29" s="96"/>
      <c r="R29" s="96"/>
      <c r="S29" s="96"/>
      <c r="T29" s="96"/>
      <c r="U29" s="97"/>
    </row>
  </sheetData>
  <mergeCells count="48">
    <mergeCell ref="B29:U29"/>
    <mergeCell ref="C16:H16"/>
    <mergeCell ref="I16:K16"/>
    <mergeCell ref="L16:O16"/>
    <mergeCell ref="B20:D20"/>
    <mergeCell ref="B21:D21"/>
    <mergeCell ref="B23:U23"/>
    <mergeCell ref="B24:U24"/>
    <mergeCell ref="B25:U25"/>
    <mergeCell ref="B26:U26"/>
    <mergeCell ref="B27:U27"/>
    <mergeCell ref="B28:U28"/>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7"/>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225</v>
      </c>
      <c r="D4" s="57" t="s">
        <v>226</v>
      </c>
      <c r="E4" s="57"/>
      <c r="F4" s="57"/>
      <c r="G4" s="57"/>
      <c r="H4" s="57"/>
      <c r="I4" s="10"/>
      <c r="J4" s="11" t="s">
        <v>9</v>
      </c>
      <c r="K4" s="12" t="s">
        <v>10</v>
      </c>
      <c r="L4" s="58" t="s">
        <v>11</v>
      </c>
      <c r="M4" s="58"/>
      <c r="N4" s="58"/>
      <c r="O4" s="58"/>
      <c r="P4" s="11" t="s">
        <v>12</v>
      </c>
      <c r="Q4" s="58" t="s">
        <v>227</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228</v>
      </c>
      <c r="D6" s="60"/>
      <c r="E6" s="60"/>
      <c r="F6" s="60"/>
      <c r="G6" s="60"/>
      <c r="H6" s="14"/>
      <c r="I6" s="14"/>
      <c r="J6" s="14" t="s">
        <v>18</v>
      </c>
      <c r="K6" s="60" t="s">
        <v>229</v>
      </c>
      <c r="L6" s="60"/>
      <c r="M6" s="60"/>
      <c r="N6" s="15"/>
      <c r="O6" s="16" t="s">
        <v>20</v>
      </c>
      <c r="P6" s="60" t="s">
        <v>230</v>
      </c>
      <c r="Q6" s="60"/>
      <c r="R6" s="17"/>
      <c r="S6" s="16" t="s">
        <v>22</v>
      </c>
      <c r="T6" s="60" t="s">
        <v>231</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33.7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75" customHeight="1" thickTop="1" thickBot="1" x14ac:dyDescent="0.25">
      <c r="A11" s="21"/>
      <c r="B11" s="22" t="s">
        <v>38</v>
      </c>
      <c r="C11" s="83" t="s">
        <v>232</v>
      </c>
      <c r="D11" s="83"/>
      <c r="E11" s="83"/>
      <c r="F11" s="83"/>
      <c r="G11" s="83"/>
      <c r="H11" s="83"/>
      <c r="I11" s="83" t="s">
        <v>233</v>
      </c>
      <c r="J11" s="83"/>
      <c r="K11" s="83"/>
      <c r="L11" s="83" t="s">
        <v>234</v>
      </c>
      <c r="M11" s="83"/>
      <c r="N11" s="83"/>
      <c r="O11" s="83"/>
      <c r="P11" s="23" t="s">
        <v>42</v>
      </c>
      <c r="Q11" s="23" t="s">
        <v>43</v>
      </c>
      <c r="R11" s="23">
        <v>39.24</v>
      </c>
      <c r="S11" s="23">
        <v>35.590000000000003</v>
      </c>
      <c r="T11" s="23">
        <v>36.32</v>
      </c>
      <c r="U11" s="47">
        <f>102.05</f>
        <v>102.05</v>
      </c>
    </row>
    <row r="12" spans="1:21" ht="75" customHeight="1" thickTop="1" x14ac:dyDescent="0.2">
      <c r="A12" s="21"/>
      <c r="B12" s="22" t="s">
        <v>44</v>
      </c>
      <c r="C12" s="83" t="s">
        <v>235</v>
      </c>
      <c r="D12" s="83"/>
      <c r="E12" s="83"/>
      <c r="F12" s="83"/>
      <c r="G12" s="83"/>
      <c r="H12" s="83"/>
      <c r="I12" s="83" t="s">
        <v>236</v>
      </c>
      <c r="J12" s="83"/>
      <c r="K12" s="83"/>
      <c r="L12" s="83" t="s">
        <v>237</v>
      </c>
      <c r="M12" s="83"/>
      <c r="N12" s="83"/>
      <c r="O12" s="83"/>
      <c r="P12" s="23" t="s">
        <v>42</v>
      </c>
      <c r="Q12" s="23" t="s">
        <v>48</v>
      </c>
      <c r="R12" s="23">
        <v>140.52000000000001</v>
      </c>
      <c r="S12" s="23">
        <v>134.16999999999999</v>
      </c>
      <c r="T12" s="23">
        <v>130.91</v>
      </c>
      <c r="U12" s="47">
        <f>97.57</f>
        <v>97.57</v>
      </c>
    </row>
    <row r="13" spans="1:21" ht="75" customHeight="1" thickBot="1" x14ac:dyDescent="0.25">
      <c r="A13" s="21"/>
      <c r="B13" s="24" t="s">
        <v>54</v>
      </c>
      <c r="C13" s="84" t="s">
        <v>54</v>
      </c>
      <c r="D13" s="84"/>
      <c r="E13" s="84"/>
      <c r="F13" s="84"/>
      <c r="G13" s="84"/>
      <c r="H13" s="84"/>
      <c r="I13" s="84" t="s">
        <v>238</v>
      </c>
      <c r="J13" s="84"/>
      <c r="K13" s="84"/>
      <c r="L13" s="84" t="s">
        <v>239</v>
      </c>
      <c r="M13" s="84"/>
      <c r="N13" s="84"/>
      <c r="O13" s="84"/>
      <c r="P13" s="25" t="s">
        <v>240</v>
      </c>
      <c r="Q13" s="25" t="s">
        <v>48</v>
      </c>
      <c r="R13" s="45">
        <v>1697</v>
      </c>
      <c r="S13" s="45">
        <v>1697</v>
      </c>
      <c r="T13" s="45">
        <v>1535</v>
      </c>
      <c r="U13" s="26">
        <f>90.45</f>
        <v>90.45</v>
      </c>
    </row>
    <row r="14" spans="1:21" ht="75" customHeight="1" thickTop="1" x14ac:dyDescent="0.2">
      <c r="A14" s="21"/>
      <c r="B14" s="22" t="s">
        <v>49</v>
      </c>
      <c r="C14" s="83" t="s">
        <v>241</v>
      </c>
      <c r="D14" s="83"/>
      <c r="E14" s="83"/>
      <c r="F14" s="83"/>
      <c r="G14" s="83"/>
      <c r="H14" s="83"/>
      <c r="I14" s="83" t="s">
        <v>242</v>
      </c>
      <c r="J14" s="83"/>
      <c r="K14" s="83"/>
      <c r="L14" s="83" t="s">
        <v>243</v>
      </c>
      <c r="M14" s="83"/>
      <c r="N14" s="83"/>
      <c r="O14" s="83"/>
      <c r="P14" s="23" t="s">
        <v>42</v>
      </c>
      <c r="Q14" s="23" t="s">
        <v>74</v>
      </c>
      <c r="R14" s="23">
        <v>100</v>
      </c>
      <c r="S14" s="23">
        <v>100</v>
      </c>
      <c r="T14" s="23">
        <v>60</v>
      </c>
      <c r="U14" s="47">
        <f>60</f>
        <v>60</v>
      </c>
    </row>
    <row r="15" spans="1:21" ht="75" customHeight="1" x14ac:dyDescent="0.2">
      <c r="A15" s="21"/>
      <c r="B15" s="24" t="s">
        <v>54</v>
      </c>
      <c r="C15" s="84" t="s">
        <v>244</v>
      </c>
      <c r="D15" s="84"/>
      <c r="E15" s="84"/>
      <c r="F15" s="84"/>
      <c r="G15" s="84"/>
      <c r="H15" s="84"/>
      <c r="I15" s="84" t="s">
        <v>245</v>
      </c>
      <c r="J15" s="84"/>
      <c r="K15" s="84"/>
      <c r="L15" s="84" t="s">
        <v>246</v>
      </c>
      <c r="M15" s="84"/>
      <c r="N15" s="84"/>
      <c r="O15" s="84"/>
      <c r="P15" s="25" t="s">
        <v>42</v>
      </c>
      <c r="Q15" s="25" t="s">
        <v>74</v>
      </c>
      <c r="R15" s="25">
        <v>96.4</v>
      </c>
      <c r="S15" s="25">
        <v>96.4</v>
      </c>
      <c r="T15" s="25">
        <v>101.8</v>
      </c>
      <c r="U15" s="26">
        <f>105.6</f>
        <v>105.6</v>
      </c>
    </row>
    <row r="16" spans="1:21" ht="75" customHeight="1" x14ac:dyDescent="0.2">
      <c r="A16" s="21"/>
      <c r="B16" s="24" t="s">
        <v>54</v>
      </c>
      <c r="C16" s="84" t="s">
        <v>247</v>
      </c>
      <c r="D16" s="84"/>
      <c r="E16" s="84"/>
      <c r="F16" s="84"/>
      <c r="G16" s="84"/>
      <c r="H16" s="84"/>
      <c r="I16" s="84" t="s">
        <v>248</v>
      </c>
      <c r="J16" s="84"/>
      <c r="K16" s="84"/>
      <c r="L16" s="84" t="s">
        <v>249</v>
      </c>
      <c r="M16" s="84"/>
      <c r="N16" s="84"/>
      <c r="O16" s="84"/>
      <c r="P16" s="25" t="s">
        <v>42</v>
      </c>
      <c r="Q16" s="25" t="s">
        <v>74</v>
      </c>
      <c r="R16" s="25">
        <v>100</v>
      </c>
      <c r="S16" s="25">
        <v>100</v>
      </c>
      <c r="T16" s="25">
        <v>77.19</v>
      </c>
      <c r="U16" s="26">
        <f>77.19</f>
        <v>77.19</v>
      </c>
    </row>
    <row r="17" spans="1:22" ht="75" customHeight="1" x14ac:dyDescent="0.2">
      <c r="A17" s="21"/>
      <c r="B17" s="24" t="s">
        <v>54</v>
      </c>
      <c r="C17" s="84" t="s">
        <v>250</v>
      </c>
      <c r="D17" s="84"/>
      <c r="E17" s="84"/>
      <c r="F17" s="84"/>
      <c r="G17" s="84"/>
      <c r="H17" s="84"/>
      <c r="I17" s="84" t="s">
        <v>251</v>
      </c>
      <c r="J17" s="84"/>
      <c r="K17" s="84"/>
      <c r="L17" s="84" t="s">
        <v>252</v>
      </c>
      <c r="M17" s="84"/>
      <c r="N17" s="84"/>
      <c r="O17" s="84"/>
      <c r="P17" s="25" t="s">
        <v>42</v>
      </c>
      <c r="Q17" s="25" t="s">
        <v>74</v>
      </c>
      <c r="R17" s="25">
        <v>100</v>
      </c>
      <c r="S17" s="25">
        <v>100</v>
      </c>
      <c r="T17" s="25">
        <v>50</v>
      </c>
      <c r="U17" s="26">
        <f>50</f>
        <v>50</v>
      </c>
    </row>
    <row r="18" spans="1:22" ht="75" customHeight="1" thickBot="1" x14ac:dyDescent="0.25">
      <c r="A18" s="21"/>
      <c r="B18" s="24" t="s">
        <v>54</v>
      </c>
      <c r="C18" s="84" t="s">
        <v>253</v>
      </c>
      <c r="D18" s="84"/>
      <c r="E18" s="84"/>
      <c r="F18" s="84"/>
      <c r="G18" s="84"/>
      <c r="H18" s="84"/>
      <c r="I18" s="84" t="s">
        <v>254</v>
      </c>
      <c r="J18" s="84"/>
      <c r="K18" s="84"/>
      <c r="L18" s="84" t="s">
        <v>255</v>
      </c>
      <c r="M18" s="84"/>
      <c r="N18" s="84"/>
      <c r="O18" s="84"/>
      <c r="P18" s="25" t="s">
        <v>42</v>
      </c>
      <c r="Q18" s="25" t="s">
        <v>74</v>
      </c>
      <c r="R18" s="25">
        <v>100</v>
      </c>
      <c r="S18" s="25">
        <v>100</v>
      </c>
      <c r="T18" s="25">
        <v>143.08000000000001</v>
      </c>
      <c r="U18" s="26">
        <f>143.1</f>
        <v>143.1</v>
      </c>
    </row>
    <row r="19" spans="1:22" ht="75" customHeight="1" thickTop="1" x14ac:dyDescent="0.2">
      <c r="A19" s="21"/>
      <c r="B19" s="22" t="s">
        <v>63</v>
      </c>
      <c r="C19" s="83" t="s">
        <v>256</v>
      </c>
      <c r="D19" s="83"/>
      <c r="E19" s="83"/>
      <c r="F19" s="83"/>
      <c r="G19" s="83"/>
      <c r="H19" s="83"/>
      <c r="I19" s="83" t="s">
        <v>257</v>
      </c>
      <c r="J19" s="83"/>
      <c r="K19" s="83"/>
      <c r="L19" s="83" t="s">
        <v>258</v>
      </c>
      <c r="M19" s="83"/>
      <c r="N19" s="83"/>
      <c r="O19" s="83"/>
      <c r="P19" s="23" t="s">
        <v>259</v>
      </c>
      <c r="Q19" s="23" t="s">
        <v>74</v>
      </c>
      <c r="R19" s="44">
        <v>115</v>
      </c>
      <c r="S19" s="44">
        <v>115</v>
      </c>
      <c r="T19" s="44">
        <v>100</v>
      </c>
      <c r="U19" s="47">
        <f>87</f>
        <v>87</v>
      </c>
    </row>
    <row r="20" spans="1:22" ht="75" customHeight="1" x14ac:dyDescent="0.2">
      <c r="A20" s="21"/>
      <c r="B20" s="24" t="s">
        <v>54</v>
      </c>
      <c r="C20" s="84" t="s">
        <v>260</v>
      </c>
      <c r="D20" s="84"/>
      <c r="E20" s="84"/>
      <c r="F20" s="84"/>
      <c r="G20" s="84"/>
      <c r="H20" s="84"/>
      <c r="I20" s="84" t="s">
        <v>261</v>
      </c>
      <c r="J20" s="84"/>
      <c r="K20" s="84"/>
      <c r="L20" s="84" t="s">
        <v>262</v>
      </c>
      <c r="M20" s="84"/>
      <c r="N20" s="84"/>
      <c r="O20" s="84"/>
      <c r="P20" s="25" t="s">
        <v>263</v>
      </c>
      <c r="Q20" s="25" t="s">
        <v>74</v>
      </c>
      <c r="R20" s="45">
        <v>120</v>
      </c>
      <c r="S20" s="45">
        <v>120</v>
      </c>
      <c r="T20" s="45">
        <v>136</v>
      </c>
      <c r="U20" s="26">
        <f>113.3</f>
        <v>113.3</v>
      </c>
    </row>
    <row r="21" spans="1:22" ht="75" customHeight="1" x14ac:dyDescent="0.2">
      <c r="A21" s="21"/>
      <c r="B21" s="24" t="s">
        <v>54</v>
      </c>
      <c r="C21" s="84" t="s">
        <v>264</v>
      </c>
      <c r="D21" s="84"/>
      <c r="E21" s="84"/>
      <c r="F21" s="84"/>
      <c r="G21" s="84"/>
      <c r="H21" s="84"/>
      <c r="I21" s="84" t="s">
        <v>265</v>
      </c>
      <c r="J21" s="84"/>
      <c r="K21" s="84"/>
      <c r="L21" s="84" t="s">
        <v>266</v>
      </c>
      <c r="M21" s="84"/>
      <c r="N21" s="84"/>
      <c r="O21" s="84"/>
      <c r="P21" s="25" t="s">
        <v>267</v>
      </c>
      <c r="Q21" s="25" t="s">
        <v>74</v>
      </c>
      <c r="R21" s="45">
        <v>22</v>
      </c>
      <c r="S21" s="45">
        <v>22</v>
      </c>
      <c r="T21" s="45">
        <v>14</v>
      </c>
      <c r="U21" s="26">
        <f>63.6</f>
        <v>63.6</v>
      </c>
    </row>
    <row r="22" spans="1:22" ht="75" customHeight="1" x14ac:dyDescent="0.2">
      <c r="A22" s="21"/>
      <c r="B22" s="24" t="s">
        <v>54</v>
      </c>
      <c r="C22" s="84" t="s">
        <v>268</v>
      </c>
      <c r="D22" s="84"/>
      <c r="E22" s="84"/>
      <c r="F22" s="84"/>
      <c r="G22" s="84"/>
      <c r="H22" s="84"/>
      <c r="I22" s="84" t="s">
        <v>269</v>
      </c>
      <c r="J22" s="84"/>
      <c r="K22" s="84"/>
      <c r="L22" s="84" t="s">
        <v>270</v>
      </c>
      <c r="M22" s="84"/>
      <c r="N22" s="84"/>
      <c r="O22" s="84"/>
      <c r="P22" s="25" t="s">
        <v>240</v>
      </c>
      <c r="Q22" s="25" t="s">
        <v>74</v>
      </c>
      <c r="R22" s="45">
        <v>550</v>
      </c>
      <c r="S22" s="45">
        <v>550</v>
      </c>
      <c r="T22" s="45">
        <v>327</v>
      </c>
      <c r="U22" s="26">
        <f>59.5</f>
        <v>59.5</v>
      </c>
    </row>
    <row r="23" spans="1:22" ht="75" customHeight="1" x14ac:dyDescent="0.2">
      <c r="A23" s="21"/>
      <c r="B23" s="24" t="s">
        <v>54</v>
      </c>
      <c r="C23" s="84" t="s">
        <v>271</v>
      </c>
      <c r="D23" s="84"/>
      <c r="E23" s="84"/>
      <c r="F23" s="84"/>
      <c r="G23" s="84"/>
      <c r="H23" s="84"/>
      <c r="I23" s="84" t="s">
        <v>272</v>
      </c>
      <c r="J23" s="84"/>
      <c r="K23" s="84"/>
      <c r="L23" s="84" t="s">
        <v>273</v>
      </c>
      <c r="M23" s="84"/>
      <c r="N23" s="84"/>
      <c r="O23" s="84"/>
      <c r="P23" s="25" t="s">
        <v>274</v>
      </c>
      <c r="Q23" s="25" t="s">
        <v>74</v>
      </c>
      <c r="R23" s="45">
        <v>1000</v>
      </c>
      <c r="S23" s="45">
        <v>1000</v>
      </c>
      <c r="T23" s="45">
        <v>879</v>
      </c>
      <c r="U23" s="26">
        <f>87.9</f>
        <v>87.9</v>
      </c>
    </row>
    <row r="24" spans="1:22" ht="75" customHeight="1" x14ac:dyDescent="0.2">
      <c r="A24" s="21"/>
      <c r="B24" s="24" t="s">
        <v>54</v>
      </c>
      <c r="C24" s="84" t="s">
        <v>275</v>
      </c>
      <c r="D24" s="84"/>
      <c r="E24" s="84"/>
      <c r="F24" s="84"/>
      <c r="G24" s="84"/>
      <c r="H24" s="84"/>
      <c r="I24" s="84" t="s">
        <v>276</v>
      </c>
      <c r="J24" s="84"/>
      <c r="K24" s="84"/>
      <c r="L24" s="84" t="s">
        <v>277</v>
      </c>
      <c r="M24" s="84"/>
      <c r="N24" s="84"/>
      <c r="O24" s="84"/>
      <c r="P24" s="25" t="s">
        <v>278</v>
      </c>
      <c r="Q24" s="25" t="s">
        <v>62</v>
      </c>
      <c r="R24" s="25">
        <v>9.4</v>
      </c>
      <c r="S24" s="25">
        <v>9.4</v>
      </c>
      <c r="T24" s="25">
        <v>8.6</v>
      </c>
      <c r="U24" s="26">
        <f>97.7</f>
        <v>97.7</v>
      </c>
    </row>
    <row r="25" spans="1:22" ht="75" customHeight="1" thickBot="1" x14ac:dyDescent="0.25">
      <c r="A25" s="21"/>
      <c r="B25" s="24" t="s">
        <v>54</v>
      </c>
      <c r="C25" s="84" t="s">
        <v>279</v>
      </c>
      <c r="D25" s="84"/>
      <c r="E25" s="84"/>
      <c r="F25" s="84"/>
      <c r="G25" s="84"/>
      <c r="H25" s="84"/>
      <c r="I25" s="84" t="s">
        <v>280</v>
      </c>
      <c r="J25" s="84"/>
      <c r="K25" s="84"/>
      <c r="L25" s="84" t="s">
        <v>281</v>
      </c>
      <c r="M25" s="84"/>
      <c r="N25" s="84"/>
      <c r="O25" s="84"/>
      <c r="P25" s="25" t="s">
        <v>42</v>
      </c>
      <c r="Q25" s="25" t="s">
        <v>74</v>
      </c>
      <c r="R25" s="25">
        <v>100</v>
      </c>
      <c r="S25" s="25">
        <v>100</v>
      </c>
      <c r="T25" s="25">
        <v>57.79</v>
      </c>
      <c r="U25" s="26">
        <f>57.79</f>
        <v>57.79</v>
      </c>
    </row>
    <row r="26" spans="1:22" ht="14.25" customHeight="1" thickTop="1" thickBot="1" x14ac:dyDescent="0.25">
      <c r="B26" s="4" t="s">
        <v>92</v>
      </c>
      <c r="C26" s="5"/>
      <c r="D26" s="5"/>
      <c r="E26" s="5"/>
      <c r="F26" s="5"/>
      <c r="G26" s="5"/>
      <c r="H26" s="6"/>
      <c r="I26" s="6"/>
      <c r="J26" s="6"/>
      <c r="K26" s="6"/>
      <c r="L26" s="6"/>
      <c r="M26" s="6"/>
      <c r="N26" s="6"/>
      <c r="O26" s="6"/>
      <c r="P26" s="6"/>
      <c r="Q26" s="6"/>
      <c r="R26" s="6"/>
      <c r="S26" s="6"/>
      <c r="T26" s="6"/>
      <c r="U26" s="7"/>
      <c r="V26" s="27"/>
    </row>
    <row r="27" spans="1:22" ht="26.25" customHeight="1" thickTop="1" x14ac:dyDescent="0.2">
      <c r="B27" s="28"/>
      <c r="C27" s="29"/>
      <c r="D27" s="29"/>
      <c r="E27" s="29"/>
      <c r="F27" s="29"/>
      <c r="G27" s="29"/>
      <c r="H27" s="30"/>
      <c r="I27" s="30"/>
      <c r="J27" s="30"/>
      <c r="K27" s="30"/>
      <c r="L27" s="30"/>
      <c r="M27" s="30"/>
      <c r="N27" s="30"/>
      <c r="O27" s="30"/>
      <c r="P27" s="30"/>
      <c r="Q27" s="30"/>
      <c r="R27" s="31"/>
      <c r="S27" s="32" t="s">
        <v>33</v>
      </c>
      <c r="T27" s="32" t="s">
        <v>93</v>
      </c>
      <c r="U27" s="18" t="s">
        <v>94</v>
      </c>
    </row>
    <row r="28" spans="1:22" ht="26.25" customHeight="1" thickBot="1" x14ac:dyDescent="0.25">
      <c r="B28" s="33"/>
      <c r="C28" s="34"/>
      <c r="D28" s="34"/>
      <c r="E28" s="34"/>
      <c r="F28" s="34"/>
      <c r="G28" s="34"/>
      <c r="H28" s="35"/>
      <c r="I28" s="35"/>
      <c r="J28" s="35"/>
      <c r="K28" s="35"/>
      <c r="L28" s="35"/>
      <c r="M28" s="35"/>
      <c r="N28" s="35"/>
      <c r="O28" s="35"/>
      <c r="P28" s="35"/>
      <c r="Q28" s="35"/>
      <c r="R28" s="35"/>
      <c r="S28" s="36" t="s">
        <v>95</v>
      </c>
      <c r="T28" s="37" t="s">
        <v>95</v>
      </c>
      <c r="U28" s="37" t="s">
        <v>96</v>
      </c>
    </row>
    <row r="29" spans="1:22" ht="13.5" customHeight="1" thickBot="1" x14ac:dyDescent="0.25">
      <c r="B29" s="88" t="s">
        <v>97</v>
      </c>
      <c r="C29" s="89"/>
      <c r="D29" s="89"/>
      <c r="E29" s="38"/>
      <c r="F29" s="38"/>
      <c r="G29" s="38"/>
      <c r="H29" s="39"/>
      <c r="I29" s="39"/>
      <c r="J29" s="39"/>
      <c r="K29" s="39"/>
      <c r="L29" s="39"/>
      <c r="M29" s="39"/>
      <c r="N29" s="39"/>
      <c r="O29" s="39"/>
      <c r="P29" s="40"/>
      <c r="Q29" s="40"/>
      <c r="R29" s="40"/>
      <c r="S29" s="48">
        <v>603.18855599999995</v>
      </c>
      <c r="T29" s="48">
        <v>820.97020929999996</v>
      </c>
      <c r="U29" s="49">
        <f>+IF(ISERR(T29/S29*100),"N/A",ROUND(T29/S29*100,1))</f>
        <v>136.1</v>
      </c>
    </row>
    <row r="30" spans="1:22" ht="13.5" customHeight="1" thickBot="1" x14ac:dyDescent="0.25">
      <c r="B30" s="90" t="s">
        <v>98</v>
      </c>
      <c r="C30" s="91"/>
      <c r="D30" s="91"/>
      <c r="E30" s="41"/>
      <c r="F30" s="41"/>
      <c r="G30" s="41"/>
      <c r="H30" s="42"/>
      <c r="I30" s="42"/>
      <c r="J30" s="42"/>
      <c r="K30" s="42"/>
      <c r="L30" s="42"/>
      <c r="M30" s="42"/>
      <c r="N30" s="42"/>
      <c r="O30" s="42"/>
      <c r="P30" s="43"/>
      <c r="Q30" s="43"/>
      <c r="R30" s="43"/>
      <c r="S30" s="48">
        <v>820.97020929999996</v>
      </c>
      <c r="T30" s="48">
        <v>820.97020929999996</v>
      </c>
      <c r="U30" s="49">
        <f>+IF(ISERR(T30/S30*100),"N/A",ROUND(T30/S30*100,1))</f>
        <v>100</v>
      </c>
    </row>
    <row r="31" spans="1:22" ht="14.85" customHeight="1" thickTop="1" thickBot="1" x14ac:dyDescent="0.25">
      <c r="B31" s="4" t="s">
        <v>99</v>
      </c>
      <c r="C31" s="5"/>
      <c r="D31" s="5"/>
      <c r="E31" s="5"/>
      <c r="F31" s="5"/>
      <c r="G31" s="5"/>
      <c r="H31" s="6"/>
      <c r="I31" s="6"/>
      <c r="J31" s="6"/>
      <c r="K31" s="6"/>
      <c r="L31" s="6"/>
      <c r="M31" s="6"/>
      <c r="N31" s="6"/>
      <c r="O31" s="6"/>
      <c r="P31" s="6"/>
      <c r="Q31" s="6"/>
      <c r="R31" s="6"/>
      <c r="S31" s="6"/>
      <c r="T31" s="6"/>
      <c r="U31" s="7"/>
    </row>
    <row r="32" spans="1:22" ht="44.25" customHeight="1" thickTop="1" x14ac:dyDescent="0.2">
      <c r="B32" s="92" t="s">
        <v>100</v>
      </c>
      <c r="C32" s="93"/>
      <c r="D32" s="93"/>
      <c r="E32" s="93"/>
      <c r="F32" s="93"/>
      <c r="G32" s="93"/>
      <c r="H32" s="93"/>
      <c r="I32" s="93"/>
      <c r="J32" s="93"/>
      <c r="K32" s="93"/>
      <c r="L32" s="93"/>
      <c r="M32" s="93"/>
      <c r="N32" s="93"/>
      <c r="O32" s="93"/>
      <c r="P32" s="93"/>
      <c r="Q32" s="93"/>
      <c r="R32" s="93"/>
      <c r="S32" s="93"/>
      <c r="T32" s="93"/>
      <c r="U32" s="94"/>
    </row>
    <row r="33" spans="2:21" ht="47.25" customHeight="1" x14ac:dyDescent="0.2">
      <c r="B33" s="85" t="s">
        <v>282</v>
      </c>
      <c r="C33" s="86"/>
      <c r="D33" s="86"/>
      <c r="E33" s="86"/>
      <c r="F33" s="86"/>
      <c r="G33" s="86"/>
      <c r="H33" s="86"/>
      <c r="I33" s="86"/>
      <c r="J33" s="86"/>
      <c r="K33" s="86"/>
      <c r="L33" s="86"/>
      <c r="M33" s="86"/>
      <c r="N33" s="86"/>
      <c r="O33" s="86"/>
      <c r="P33" s="86"/>
      <c r="Q33" s="86"/>
      <c r="R33" s="86"/>
      <c r="S33" s="86"/>
      <c r="T33" s="86"/>
      <c r="U33" s="87"/>
    </row>
    <row r="34" spans="2:21" ht="96.75" customHeight="1" x14ac:dyDescent="0.2">
      <c r="B34" s="85" t="s">
        <v>283</v>
      </c>
      <c r="C34" s="86"/>
      <c r="D34" s="86"/>
      <c r="E34" s="86"/>
      <c r="F34" s="86"/>
      <c r="G34" s="86"/>
      <c r="H34" s="86"/>
      <c r="I34" s="86"/>
      <c r="J34" s="86"/>
      <c r="K34" s="86"/>
      <c r="L34" s="86"/>
      <c r="M34" s="86"/>
      <c r="N34" s="86"/>
      <c r="O34" s="86"/>
      <c r="P34" s="86"/>
      <c r="Q34" s="86"/>
      <c r="R34" s="86"/>
      <c r="S34" s="86"/>
      <c r="T34" s="86"/>
      <c r="U34" s="87"/>
    </row>
    <row r="35" spans="2:21" ht="97.7" customHeight="1" x14ac:dyDescent="0.2">
      <c r="B35" s="85" t="s">
        <v>284</v>
      </c>
      <c r="C35" s="86"/>
      <c r="D35" s="86"/>
      <c r="E35" s="86"/>
      <c r="F35" s="86"/>
      <c r="G35" s="86"/>
      <c r="H35" s="86"/>
      <c r="I35" s="86"/>
      <c r="J35" s="86"/>
      <c r="K35" s="86"/>
      <c r="L35" s="86"/>
      <c r="M35" s="86"/>
      <c r="N35" s="86"/>
      <c r="O35" s="86"/>
      <c r="P35" s="86"/>
      <c r="Q35" s="86"/>
      <c r="R35" s="86"/>
      <c r="S35" s="86"/>
      <c r="T35" s="86"/>
      <c r="U35" s="87"/>
    </row>
    <row r="36" spans="2:21" ht="63" customHeight="1" x14ac:dyDescent="0.2">
      <c r="B36" s="85" t="s">
        <v>285</v>
      </c>
      <c r="C36" s="86"/>
      <c r="D36" s="86"/>
      <c r="E36" s="86"/>
      <c r="F36" s="86"/>
      <c r="G36" s="86"/>
      <c r="H36" s="86"/>
      <c r="I36" s="86"/>
      <c r="J36" s="86"/>
      <c r="K36" s="86"/>
      <c r="L36" s="86"/>
      <c r="M36" s="86"/>
      <c r="N36" s="86"/>
      <c r="O36" s="86"/>
      <c r="P36" s="86"/>
      <c r="Q36" s="86"/>
      <c r="R36" s="86"/>
      <c r="S36" s="86"/>
      <c r="T36" s="86"/>
      <c r="U36" s="87"/>
    </row>
    <row r="37" spans="2:21" ht="45.75" customHeight="1" x14ac:dyDescent="0.2">
      <c r="B37" s="85" t="s">
        <v>286</v>
      </c>
      <c r="C37" s="86"/>
      <c r="D37" s="86"/>
      <c r="E37" s="86"/>
      <c r="F37" s="86"/>
      <c r="G37" s="86"/>
      <c r="H37" s="86"/>
      <c r="I37" s="86"/>
      <c r="J37" s="86"/>
      <c r="K37" s="86"/>
      <c r="L37" s="86"/>
      <c r="M37" s="86"/>
      <c r="N37" s="86"/>
      <c r="O37" s="86"/>
      <c r="P37" s="86"/>
      <c r="Q37" s="86"/>
      <c r="R37" s="86"/>
      <c r="S37" s="86"/>
      <c r="T37" s="86"/>
      <c r="U37" s="87"/>
    </row>
    <row r="38" spans="2:21" ht="84.75" customHeight="1" x14ac:dyDescent="0.2">
      <c r="B38" s="85" t="s">
        <v>287</v>
      </c>
      <c r="C38" s="86"/>
      <c r="D38" s="86"/>
      <c r="E38" s="86"/>
      <c r="F38" s="86"/>
      <c r="G38" s="86"/>
      <c r="H38" s="86"/>
      <c r="I38" s="86"/>
      <c r="J38" s="86"/>
      <c r="K38" s="86"/>
      <c r="L38" s="86"/>
      <c r="M38" s="86"/>
      <c r="N38" s="86"/>
      <c r="O38" s="86"/>
      <c r="P38" s="86"/>
      <c r="Q38" s="86"/>
      <c r="R38" s="86"/>
      <c r="S38" s="86"/>
      <c r="T38" s="86"/>
      <c r="U38" s="87"/>
    </row>
    <row r="39" spans="2:21" ht="68.25" customHeight="1" x14ac:dyDescent="0.2">
      <c r="B39" s="85" t="s">
        <v>288</v>
      </c>
      <c r="C39" s="86"/>
      <c r="D39" s="86"/>
      <c r="E39" s="86"/>
      <c r="F39" s="86"/>
      <c r="G39" s="86"/>
      <c r="H39" s="86"/>
      <c r="I39" s="86"/>
      <c r="J39" s="86"/>
      <c r="K39" s="86"/>
      <c r="L39" s="86"/>
      <c r="M39" s="86"/>
      <c r="N39" s="86"/>
      <c r="O39" s="86"/>
      <c r="P39" s="86"/>
      <c r="Q39" s="86"/>
      <c r="R39" s="86"/>
      <c r="S39" s="86"/>
      <c r="T39" s="86"/>
      <c r="U39" s="87"/>
    </row>
    <row r="40" spans="2:21" ht="60.75" customHeight="1" x14ac:dyDescent="0.2">
      <c r="B40" s="85" t="s">
        <v>289</v>
      </c>
      <c r="C40" s="86"/>
      <c r="D40" s="86"/>
      <c r="E40" s="86"/>
      <c r="F40" s="86"/>
      <c r="G40" s="86"/>
      <c r="H40" s="86"/>
      <c r="I40" s="86"/>
      <c r="J40" s="86"/>
      <c r="K40" s="86"/>
      <c r="L40" s="86"/>
      <c r="M40" s="86"/>
      <c r="N40" s="86"/>
      <c r="O40" s="86"/>
      <c r="P40" s="86"/>
      <c r="Q40" s="86"/>
      <c r="R40" s="86"/>
      <c r="S40" s="86"/>
      <c r="T40" s="86"/>
      <c r="U40" s="87"/>
    </row>
    <row r="41" spans="2:21" ht="93" customHeight="1" x14ac:dyDescent="0.2">
      <c r="B41" s="85" t="s">
        <v>290</v>
      </c>
      <c r="C41" s="86"/>
      <c r="D41" s="86"/>
      <c r="E41" s="86"/>
      <c r="F41" s="86"/>
      <c r="G41" s="86"/>
      <c r="H41" s="86"/>
      <c r="I41" s="86"/>
      <c r="J41" s="86"/>
      <c r="K41" s="86"/>
      <c r="L41" s="86"/>
      <c r="M41" s="86"/>
      <c r="N41" s="86"/>
      <c r="O41" s="86"/>
      <c r="P41" s="86"/>
      <c r="Q41" s="86"/>
      <c r="R41" s="86"/>
      <c r="S41" s="86"/>
      <c r="T41" s="86"/>
      <c r="U41" s="87"/>
    </row>
    <row r="42" spans="2:21" ht="55.5" customHeight="1" x14ac:dyDescent="0.2">
      <c r="B42" s="85" t="s">
        <v>291</v>
      </c>
      <c r="C42" s="86"/>
      <c r="D42" s="86"/>
      <c r="E42" s="86"/>
      <c r="F42" s="86"/>
      <c r="G42" s="86"/>
      <c r="H42" s="86"/>
      <c r="I42" s="86"/>
      <c r="J42" s="86"/>
      <c r="K42" s="86"/>
      <c r="L42" s="86"/>
      <c r="M42" s="86"/>
      <c r="N42" s="86"/>
      <c r="O42" s="86"/>
      <c r="P42" s="86"/>
      <c r="Q42" s="86"/>
      <c r="R42" s="86"/>
      <c r="S42" s="86"/>
      <c r="T42" s="86"/>
      <c r="U42" s="87"/>
    </row>
    <row r="43" spans="2:21" ht="50.25" customHeight="1" x14ac:dyDescent="0.2">
      <c r="B43" s="85" t="s">
        <v>292</v>
      </c>
      <c r="C43" s="86"/>
      <c r="D43" s="86"/>
      <c r="E43" s="86"/>
      <c r="F43" s="86"/>
      <c r="G43" s="86"/>
      <c r="H43" s="86"/>
      <c r="I43" s="86"/>
      <c r="J43" s="86"/>
      <c r="K43" s="86"/>
      <c r="L43" s="86"/>
      <c r="M43" s="86"/>
      <c r="N43" s="86"/>
      <c r="O43" s="86"/>
      <c r="P43" s="86"/>
      <c r="Q43" s="86"/>
      <c r="R43" s="86"/>
      <c r="S43" s="86"/>
      <c r="T43" s="86"/>
      <c r="U43" s="87"/>
    </row>
    <row r="44" spans="2:21" ht="52.5" customHeight="1" x14ac:dyDescent="0.2">
      <c r="B44" s="85" t="s">
        <v>293</v>
      </c>
      <c r="C44" s="86"/>
      <c r="D44" s="86"/>
      <c r="E44" s="86"/>
      <c r="F44" s="86"/>
      <c r="G44" s="86"/>
      <c r="H44" s="86"/>
      <c r="I44" s="86"/>
      <c r="J44" s="86"/>
      <c r="K44" s="86"/>
      <c r="L44" s="86"/>
      <c r="M44" s="86"/>
      <c r="N44" s="86"/>
      <c r="O44" s="86"/>
      <c r="P44" s="86"/>
      <c r="Q44" s="86"/>
      <c r="R44" s="86"/>
      <c r="S44" s="86"/>
      <c r="T44" s="86"/>
      <c r="U44" s="87"/>
    </row>
    <row r="45" spans="2:21" ht="48.75" customHeight="1" x14ac:dyDescent="0.2">
      <c r="B45" s="85" t="s">
        <v>294</v>
      </c>
      <c r="C45" s="86"/>
      <c r="D45" s="86"/>
      <c r="E45" s="86"/>
      <c r="F45" s="86"/>
      <c r="G45" s="86"/>
      <c r="H45" s="86"/>
      <c r="I45" s="86"/>
      <c r="J45" s="86"/>
      <c r="K45" s="86"/>
      <c r="L45" s="86"/>
      <c r="M45" s="86"/>
      <c r="N45" s="86"/>
      <c r="O45" s="86"/>
      <c r="P45" s="86"/>
      <c r="Q45" s="86"/>
      <c r="R45" s="86"/>
      <c r="S45" s="86"/>
      <c r="T45" s="86"/>
      <c r="U45" s="87"/>
    </row>
    <row r="46" spans="2:21" ht="87" customHeight="1" x14ac:dyDescent="0.2">
      <c r="B46" s="85" t="s">
        <v>295</v>
      </c>
      <c r="C46" s="86"/>
      <c r="D46" s="86"/>
      <c r="E46" s="86"/>
      <c r="F46" s="86"/>
      <c r="G46" s="86"/>
      <c r="H46" s="86"/>
      <c r="I46" s="86"/>
      <c r="J46" s="86"/>
      <c r="K46" s="86"/>
      <c r="L46" s="86"/>
      <c r="M46" s="86"/>
      <c r="N46" s="86"/>
      <c r="O46" s="86"/>
      <c r="P46" s="86"/>
      <c r="Q46" s="86"/>
      <c r="R46" s="86"/>
      <c r="S46" s="86"/>
      <c r="T46" s="86"/>
      <c r="U46" s="87"/>
    </row>
    <row r="47" spans="2:21" ht="60.75" customHeight="1" thickBot="1" x14ac:dyDescent="0.25">
      <c r="B47" s="95" t="s">
        <v>296</v>
      </c>
      <c r="C47" s="96"/>
      <c r="D47" s="96"/>
      <c r="E47" s="96"/>
      <c r="F47" s="96"/>
      <c r="G47" s="96"/>
      <c r="H47" s="96"/>
      <c r="I47" s="96"/>
      <c r="J47" s="96"/>
      <c r="K47" s="96"/>
      <c r="L47" s="96"/>
      <c r="M47" s="96"/>
      <c r="N47" s="96"/>
      <c r="O47" s="96"/>
      <c r="P47" s="96"/>
      <c r="Q47" s="96"/>
      <c r="R47" s="96"/>
      <c r="S47" s="96"/>
      <c r="T47" s="96"/>
      <c r="U47" s="97"/>
    </row>
  </sheetData>
  <mergeCells count="84">
    <mergeCell ref="B47:U47"/>
    <mergeCell ref="B36:U36"/>
    <mergeCell ref="B37:U37"/>
    <mergeCell ref="B38:U38"/>
    <mergeCell ref="B39:U39"/>
    <mergeCell ref="B40:U40"/>
    <mergeCell ref="B41:U41"/>
    <mergeCell ref="B42:U42"/>
    <mergeCell ref="B43:U43"/>
    <mergeCell ref="B44:U44"/>
    <mergeCell ref="B45:U45"/>
    <mergeCell ref="B46:U46"/>
    <mergeCell ref="B35:U35"/>
    <mergeCell ref="C24:H24"/>
    <mergeCell ref="I24:K24"/>
    <mergeCell ref="L24:O24"/>
    <mergeCell ref="C25:H25"/>
    <mergeCell ref="I25:K25"/>
    <mergeCell ref="L25:O25"/>
    <mergeCell ref="B29:D29"/>
    <mergeCell ref="B30:D30"/>
    <mergeCell ref="B32:U32"/>
    <mergeCell ref="B33:U33"/>
    <mergeCell ref="B34:U34"/>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297</v>
      </c>
      <c r="D4" s="57" t="s">
        <v>298</v>
      </c>
      <c r="E4" s="57"/>
      <c r="F4" s="57"/>
      <c r="G4" s="57"/>
      <c r="H4" s="57"/>
      <c r="I4" s="10"/>
      <c r="J4" s="11" t="s">
        <v>9</v>
      </c>
      <c r="K4" s="12" t="s">
        <v>10</v>
      </c>
      <c r="L4" s="58" t="s">
        <v>11</v>
      </c>
      <c r="M4" s="58"/>
      <c r="N4" s="58"/>
      <c r="O4" s="58"/>
      <c r="P4" s="11" t="s">
        <v>12</v>
      </c>
      <c r="Q4" s="58" t="s">
        <v>299</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197</v>
      </c>
      <c r="D6" s="60"/>
      <c r="E6" s="60"/>
      <c r="F6" s="60"/>
      <c r="G6" s="60"/>
      <c r="H6" s="14"/>
      <c r="I6" s="14"/>
      <c r="J6" s="14" t="s">
        <v>18</v>
      </c>
      <c r="K6" s="60" t="s">
        <v>198</v>
      </c>
      <c r="L6" s="60"/>
      <c r="M6" s="60"/>
      <c r="N6" s="15"/>
      <c r="O6" s="16" t="s">
        <v>20</v>
      </c>
      <c r="P6" s="60" t="s">
        <v>199</v>
      </c>
      <c r="Q6" s="60"/>
      <c r="R6" s="17"/>
      <c r="S6" s="16" t="s">
        <v>22</v>
      </c>
      <c r="T6" s="60" t="s">
        <v>300</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87" customHeight="1" thickTop="1" x14ac:dyDescent="0.2">
      <c r="A11" s="21"/>
      <c r="B11" s="22" t="s">
        <v>38</v>
      </c>
      <c r="C11" s="83" t="s">
        <v>301</v>
      </c>
      <c r="D11" s="83"/>
      <c r="E11" s="83"/>
      <c r="F11" s="83"/>
      <c r="G11" s="83"/>
      <c r="H11" s="83"/>
      <c r="I11" s="83" t="s">
        <v>302</v>
      </c>
      <c r="J11" s="83"/>
      <c r="K11" s="83"/>
      <c r="L11" s="83" t="s">
        <v>303</v>
      </c>
      <c r="M11" s="83"/>
      <c r="N11" s="83"/>
      <c r="O11" s="83"/>
      <c r="P11" s="23" t="s">
        <v>42</v>
      </c>
      <c r="Q11" s="23" t="s">
        <v>43</v>
      </c>
      <c r="R11" s="23">
        <v>60.4</v>
      </c>
      <c r="S11" s="23">
        <v>60.4</v>
      </c>
      <c r="T11" s="23">
        <v>51.25</v>
      </c>
      <c r="U11" s="47">
        <f>84.9</f>
        <v>84.9</v>
      </c>
    </row>
    <row r="12" spans="1:21" ht="93" customHeight="1" thickBot="1" x14ac:dyDescent="0.25">
      <c r="A12" s="21"/>
      <c r="B12" s="24" t="s">
        <v>54</v>
      </c>
      <c r="C12" s="84" t="s">
        <v>54</v>
      </c>
      <c r="D12" s="84"/>
      <c r="E12" s="84"/>
      <c r="F12" s="84"/>
      <c r="G12" s="84"/>
      <c r="H12" s="84"/>
      <c r="I12" s="84" t="s">
        <v>304</v>
      </c>
      <c r="J12" s="84"/>
      <c r="K12" s="84"/>
      <c r="L12" s="84" t="s">
        <v>305</v>
      </c>
      <c r="M12" s="84"/>
      <c r="N12" s="84"/>
      <c r="O12" s="84"/>
      <c r="P12" s="25" t="s">
        <v>42</v>
      </c>
      <c r="Q12" s="25" t="s">
        <v>43</v>
      </c>
      <c r="R12" s="25">
        <v>31.08</v>
      </c>
      <c r="S12" s="25">
        <v>31.08</v>
      </c>
      <c r="T12" s="25">
        <v>49.64</v>
      </c>
      <c r="U12" s="26">
        <f>159.7</f>
        <v>159.69999999999999</v>
      </c>
    </row>
    <row r="13" spans="1:21" ht="75" customHeight="1" thickTop="1" x14ac:dyDescent="0.2">
      <c r="A13" s="21"/>
      <c r="B13" s="22" t="s">
        <v>44</v>
      </c>
      <c r="C13" s="83" t="s">
        <v>306</v>
      </c>
      <c r="D13" s="83"/>
      <c r="E13" s="83"/>
      <c r="F13" s="83"/>
      <c r="G13" s="83"/>
      <c r="H13" s="83"/>
      <c r="I13" s="83" t="s">
        <v>307</v>
      </c>
      <c r="J13" s="83"/>
      <c r="K13" s="83"/>
      <c r="L13" s="83" t="s">
        <v>308</v>
      </c>
      <c r="M13" s="83"/>
      <c r="N13" s="83"/>
      <c r="O13" s="83"/>
      <c r="P13" s="23" t="s">
        <v>42</v>
      </c>
      <c r="Q13" s="23" t="s">
        <v>43</v>
      </c>
      <c r="R13" s="23">
        <v>104.19</v>
      </c>
      <c r="S13" s="23">
        <v>104.19</v>
      </c>
      <c r="T13" s="23">
        <v>108.55</v>
      </c>
      <c r="U13" s="47">
        <f>104.2</f>
        <v>104.2</v>
      </c>
    </row>
    <row r="14" spans="1:21" ht="75" customHeight="1" thickBot="1" x14ac:dyDescent="0.25">
      <c r="A14" s="21"/>
      <c r="B14" s="24" t="s">
        <v>54</v>
      </c>
      <c r="C14" s="84" t="s">
        <v>54</v>
      </c>
      <c r="D14" s="84"/>
      <c r="E14" s="84"/>
      <c r="F14" s="84"/>
      <c r="G14" s="84"/>
      <c r="H14" s="84"/>
      <c r="I14" s="84" t="s">
        <v>309</v>
      </c>
      <c r="J14" s="84"/>
      <c r="K14" s="84"/>
      <c r="L14" s="84" t="s">
        <v>310</v>
      </c>
      <c r="M14" s="84"/>
      <c r="N14" s="84"/>
      <c r="O14" s="84"/>
      <c r="P14" s="25" t="s">
        <v>42</v>
      </c>
      <c r="Q14" s="25" t="s">
        <v>43</v>
      </c>
      <c r="R14" s="25">
        <v>18.55</v>
      </c>
      <c r="S14" s="25">
        <v>18.55</v>
      </c>
      <c r="T14" s="25">
        <v>135.88</v>
      </c>
      <c r="U14" s="26">
        <f>732.5</f>
        <v>732.5</v>
      </c>
    </row>
    <row r="15" spans="1:21" ht="75" customHeight="1" thickTop="1" x14ac:dyDescent="0.2">
      <c r="A15" s="21"/>
      <c r="B15" s="22" t="s">
        <v>49</v>
      </c>
      <c r="C15" s="83" t="s">
        <v>311</v>
      </c>
      <c r="D15" s="83"/>
      <c r="E15" s="83"/>
      <c r="F15" s="83"/>
      <c r="G15" s="83"/>
      <c r="H15" s="83"/>
      <c r="I15" s="83" t="s">
        <v>312</v>
      </c>
      <c r="J15" s="83"/>
      <c r="K15" s="83"/>
      <c r="L15" s="83" t="s">
        <v>313</v>
      </c>
      <c r="M15" s="83"/>
      <c r="N15" s="83"/>
      <c r="O15" s="83"/>
      <c r="P15" s="23" t="s">
        <v>42</v>
      </c>
      <c r="Q15" s="23" t="s">
        <v>43</v>
      </c>
      <c r="R15" s="23">
        <v>33.840000000000003</v>
      </c>
      <c r="S15" s="23">
        <v>33.840000000000003</v>
      </c>
      <c r="T15" s="23">
        <v>40.409999999999997</v>
      </c>
      <c r="U15" s="47">
        <f>119.4</f>
        <v>119.4</v>
      </c>
    </row>
    <row r="16" spans="1:21" ht="75" customHeight="1" thickBot="1" x14ac:dyDescent="0.25">
      <c r="A16" s="21"/>
      <c r="B16" s="24" t="s">
        <v>54</v>
      </c>
      <c r="C16" s="84" t="s">
        <v>54</v>
      </c>
      <c r="D16" s="84"/>
      <c r="E16" s="84"/>
      <c r="F16" s="84"/>
      <c r="G16" s="84"/>
      <c r="H16" s="84"/>
      <c r="I16" s="84" t="s">
        <v>314</v>
      </c>
      <c r="J16" s="84"/>
      <c r="K16" s="84"/>
      <c r="L16" s="84" t="s">
        <v>315</v>
      </c>
      <c r="M16" s="84"/>
      <c r="N16" s="84"/>
      <c r="O16" s="84"/>
      <c r="P16" s="25" t="s">
        <v>42</v>
      </c>
      <c r="Q16" s="25" t="s">
        <v>43</v>
      </c>
      <c r="R16" s="25">
        <v>42.6</v>
      </c>
      <c r="S16" s="25">
        <v>42.6</v>
      </c>
      <c r="T16" s="25">
        <v>37.74</v>
      </c>
      <c r="U16" s="26">
        <f>88.6</f>
        <v>88.6</v>
      </c>
    </row>
    <row r="17" spans="1:22" ht="75" customHeight="1" thickTop="1" x14ac:dyDescent="0.2">
      <c r="A17" s="21"/>
      <c r="B17" s="22" t="s">
        <v>63</v>
      </c>
      <c r="C17" s="83" t="s">
        <v>316</v>
      </c>
      <c r="D17" s="83"/>
      <c r="E17" s="83"/>
      <c r="F17" s="83"/>
      <c r="G17" s="83"/>
      <c r="H17" s="83"/>
      <c r="I17" s="83" t="s">
        <v>317</v>
      </c>
      <c r="J17" s="83"/>
      <c r="K17" s="83"/>
      <c r="L17" s="83" t="s">
        <v>318</v>
      </c>
      <c r="M17" s="83"/>
      <c r="N17" s="83"/>
      <c r="O17" s="83"/>
      <c r="P17" s="23" t="s">
        <v>319</v>
      </c>
      <c r="Q17" s="23" t="s">
        <v>320</v>
      </c>
      <c r="R17" s="23">
        <v>1658.48</v>
      </c>
      <c r="S17" s="23">
        <v>1658.48</v>
      </c>
      <c r="T17" s="23">
        <v>2622.1</v>
      </c>
      <c r="U17" s="47">
        <f>158.1</f>
        <v>158.1</v>
      </c>
    </row>
    <row r="18" spans="1:22" ht="75" customHeight="1" x14ac:dyDescent="0.2">
      <c r="A18" s="21"/>
      <c r="B18" s="24" t="s">
        <v>54</v>
      </c>
      <c r="C18" s="84" t="s">
        <v>321</v>
      </c>
      <c r="D18" s="84"/>
      <c r="E18" s="84"/>
      <c r="F18" s="84"/>
      <c r="G18" s="84"/>
      <c r="H18" s="84"/>
      <c r="I18" s="84" t="s">
        <v>322</v>
      </c>
      <c r="J18" s="84"/>
      <c r="K18" s="84"/>
      <c r="L18" s="84" t="s">
        <v>323</v>
      </c>
      <c r="M18" s="84"/>
      <c r="N18" s="84"/>
      <c r="O18" s="84"/>
      <c r="P18" s="25" t="s">
        <v>42</v>
      </c>
      <c r="Q18" s="25" t="s">
        <v>320</v>
      </c>
      <c r="R18" s="25">
        <v>13.93</v>
      </c>
      <c r="S18" s="25">
        <v>13.93</v>
      </c>
      <c r="T18" s="25">
        <v>6.33</v>
      </c>
      <c r="U18" s="26">
        <f>45.4</f>
        <v>45.4</v>
      </c>
    </row>
    <row r="19" spans="1:22" ht="75" customHeight="1" x14ac:dyDescent="0.2">
      <c r="A19" s="21"/>
      <c r="B19" s="24" t="s">
        <v>54</v>
      </c>
      <c r="C19" s="84" t="s">
        <v>324</v>
      </c>
      <c r="D19" s="84"/>
      <c r="E19" s="84"/>
      <c r="F19" s="84"/>
      <c r="G19" s="84"/>
      <c r="H19" s="84"/>
      <c r="I19" s="84" t="s">
        <v>325</v>
      </c>
      <c r="J19" s="84"/>
      <c r="K19" s="84"/>
      <c r="L19" s="84" t="s">
        <v>326</v>
      </c>
      <c r="M19" s="84"/>
      <c r="N19" s="84"/>
      <c r="O19" s="84"/>
      <c r="P19" s="25" t="s">
        <v>42</v>
      </c>
      <c r="Q19" s="25" t="s">
        <v>327</v>
      </c>
      <c r="R19" s="25">
        <v>5.68</v>
      </c>
      <c r="S19" s="25">
        <v>5.68</v>
      </c>
      <c r="T19" s="25">
        <v>45.9</v>
      </c>
      <c r="U19" s="26">
        <f>808.1</f>
        <v>808.1</v>
      </c>
    </row>
    <row r="20" spans="1:22" ht="75" customHeight="1" thickBot="1" x14ac:dyDescent="0.25">
      <c r="A20" s="21"/>
      <c r="B20" s="24" t="s">
        <v>54</v>
      </c>
      <c r="C20" s="84" t="s">
        <v>328</v>
      </c>
      <c r="D20" s="84"/>
      <c r="E20" s="84"/>
      <c r="F20" s="84"/>
      <c r="G20" s="84"/>
      <c r="H20" s="84"/>
      <c r="I20" s="84" t="s">
        <v>322</v>
      </c>
      <c r="J20" s="84"/>
      <c r="K20" s="84"/>
      <c r="L20" s="84" t="s">
        <v>329</v>
      </c>
      <c r="M20" s="84"/>
      <c r="N20" s="84"/>
      <c r="O20" s="84"/>
      <c r="P20" s="25" t="s">
        <v>42</v>
      </c>
      <c r="Q20" s="25" t="s">
        <v>320</v>
      </c>
      <c r="R20" s="25">
        <v>19.2</v>
      </c>
      <c r="S20" s="25">
        <v>19.2</v>
      </c>
      <c r="T20" s="25">
        <v>12.33</v>
      </c>
      <c r="U20" s="26">
        <f>64.2</f>
        <v>64.2</v>
      </c>
    </row>
    <row r="21" spans="1:22" ht="14.25" customHeight="1" thickTop="1" thickBot="1" x14ac:dyDescent="0.25">
      <c r="B21" s="4" t="s">
        <v>92</v>
      </c>
      <c r="C21" s="5"/>
      <c r="D21" s="5"/>
      <c r="E21" s="5"/>
      <c r="F21" s="5"/>
      <c r="G21" s="5"/>
      <c r="H21" s="6"/>
      <c r="I21" s="6"/>
      <c r="J21" s="6"/>
      <c r="K21" s="6"/>
      <c r="L21" s="6"/>
      <c r="M21" s="6"/>
      <c r="N21" s="6"/>
      <c r="O21" s="6"/>
      <c r="P21" s="6"/>
      <c r="Q21" s="6"/>
      <c r="R21" s="6"/>
      <c r="S21" s="6"/>
      <c r="T21" s="6"/>
      <c r="U21" s="7"/>
      <c r="V21" s="27"/>
    </row>
    <row r="22" spans="1:22" ht="26.25" customHeight="1" thickTop="1" x14ac:dyDescent="0.2">
      <c r="B22" s="28"/>
      <c r="C22" s="29"/>
      <c r="D22" s="29"/>
      <c r="E22" s="29"/>
      <c r="F22" s="29"/>
      <c r="G22" s="29"/>
      <c r="H22" s="30"/>
      <c r="I22" s="30"/>
      <c r="J22" s="30"/>
      <c r="K22" s="30"/>
      <c r="L22" s="30"/>
      <c r="M22" s="30"/>
      <c r="N22" s="30"/>
      <c r="O22" s="30"/>
      <c r="P22" s="30"/>
      <c r="Q22" s="30"/>
      <c r="R22" s="31"/>
      <c r="S22" s="32" t="s">
        <v>33</v>
      </c>
      <c r="T22" s="32" t="s">
        <v>93</v>
      </c>
      <c r="U22" s="18" t="s">
        <v>94</v>
      </c>
    </row>
    <row r="23" spans="1:22" ht="26.25" customHeight="1" thickBot="1" x14ac:dyDescent="0.25">
      <c r="B23" s="33"/>
      <c r="C23" s="34"/>
      <c r="D23" s="34"/>
      <c r="E23" s="34"/>
      <c r="F23" s="34"/>
      <c r="G23" s="34"/>
      <c r="H23" s="35"/>
      <c r="I23" s="35"/>
      <c r="J23" s="35"/>
      <c r="K23" s="35"/>
      <c r="L23" s="35"/>
      <c r="M23" s="35"/>
      <c r="N23" s="35"/>
      <c r="O23" s="35"/>
      <c r="P23" s="35"/>
      <c r="Q23" s="35"/>
      <c r="R23" s="35"/>
      <c r="S23" s="36" t="s">
        <v>95</v>
      </c>
      <c r="T23" s="37" t="s">
        <v>95</v>
      </c>
      <c r="U23" s="37" t="s">
        <v>96</v>
      </c>
    </row>
    <row r="24" spans="1:22" ht="13.5" customHeight="1" thickBot="1" x14ac:dyDescent="0.25">
      <c r="B24" s="88" t="s">
        <v>97</v>
      </c>
      <c r="C24" s="89"/>
      <c r="D24" s="89"/>
      <c r="E24" s="38"/>
      <c r="F24" s="38"/>
      <c r="G24" s="38"/>
      <c r="H24" s="39"/>
      <c r="I24" s="39"/>
      <c r="J24" s="39"/>
      <c r="K24" s="39"/>
      <c r="L24" s="39"/>
      <c r="M24" s="39"/>
      <c r="N24" s="39"/>
      <c r="O24" s="39"/>
      <c r="P24" s="40"/>
      <c r="Q24" s="40"/>
      <c r="R24" s="40"/>
      <c r="S24" s="48">
        <v>1265</v>
      </c>
      <c r="T24" s="48">
        <v>1489.8980841000002</v>
      </c>
      <c r="U24" s="49">
        <f>+IF(ISERR(T24/S24*100),"N/A",ROUND(T24/S24*100,1))</f>
        <v>117.8</v>
      </c>
    </row>
    <row r="25" spans="1:22" ht="13.5" customHeight="1" thickBot="1" x14ac:dyDescent="0.25">
      <c r="B25" s="90" t="s">
        <v>98</v>
      </c>
      <c r="C25" s="91"/>
      <c r="D25" s="91"/>
      <c r="E25" s="41"/>
      <c r="F25" s="41"/>
      <c r="G25" s="41"/>
      <c r="H25" s="42"/>
      <c r="I25" s="42"/>
      <c r="J25" s="42"/>
      <c r="K25" s="42"/>
      <c r="L25" s="42"/>
      <c r="M25" s="42"/>
      <c r="N25" s="42"/>
      <c r="O25" s="42"/>
      <c r="P25" s="43"/>
      <c r="Q25" s="43"/>
      <c r="R25" s="43"/>
      <c r="S25" s="48">
        <v>1489.8980841000002</v>
      </c>
      <c r="T25" s="48">
        <v>1489.8980841000002</v>
      </c>
      <c r="U25" s="49">
        <f>+IF(ISERR(T25/S25*100),"N/A",ROUND(T25/S25*100,1))</f>
        <v>100</v>
      </c>
    </row>
    <row r="26" spans="1:22" ht="14.85" customHeight="1" thickTop="1" thickBot="1" x14ac:dyDescent="0.25">
      <c r="B26" s="4" t="s">
        <v>99</v>
      </c>
      <c r="C26" s="5"/>
      <c r="D26" s="5"/>
      <c r="E26" s="5"/>
      <c r="F26" s="5"/>
      <c r="G26" s="5"/>
      <c r="H26" s="6"/>
      <c r="I26" s="6"/>
      <c r="J26" s="6"/>
      <c r="K26" s="6"/>
      <c r="L26" s="6"/>
      <c r="M26" s="6"/>
      <c r="N26" s="6"/>
      <c r="O26" s="6"/>
      <c r="P26" s="6"/>
      <c r="Q26" s="6"/>
      <c r="R26" s="6"/>
      <c r="S26" s="6"/>
      <c r="T26" s="6"/>
      <c r="U26" s="7"/>
    </row>
    <row r="27" spans="1:22" ht="44.25" customHeight="1" thickTop="1" x14ac:dyDescent="0.2">
      <c r="B27" s="92" t="s">
        <v>100</v>
      </c>
      <c r="C27" s="93"/>
      <c r="D27" s="93"/>
      <c r="E27" s="93"/>
      <c r="F27" s="93"/>
      <c r="G27" s="93"/>
      <c r="H27" s="93"/>
      <c r="I27" s="93"/>
      <c r="J27" s="93"/>
      <c r="K27" s="93"/>
      <c r="L27" s="93"/>
      <c r="M27" s="93"/>
      <c r="N27" s="93"/>
      <c r="O27" s="93"/>
      <c r="P27" s="93"/>
      <c r="Q27" s="93"/>
      <c r="R27" s="93"/>
      <c r="S27" s="93"/>
      <c r="T27" s="93"/>
      <c r="U27" s="94"/>
    </row>
    <row r="28" spans="1:22" ht="77.25" customHeight="1" x14ac:dyDescent="0.2">
      <c r="B28" s="85" t="s">
        <v>330</v>
      </c>
      <c r="C28" s="86"/>
      <c r="D28" s="86"/>
      <c r="E28" s="86"/>
      <c r="F28" s="86"/>
      <c r="G28" s="86"/>
      <c r="H28" s="86"/>
      <c r="I28" s="86"/>
      <c r="J28" s="86"/>
      <c r="K28" s="86"/>
      <c r="L28" s="86"/>
      <c r="M28" s="86"/>
      <c r="N28" s="86"/>
      <c r="O28" s="86"/>
      <c r="P28" s="86"/>
      <c r="Q28" s="86"/>
      <c r="R28" s="86"/>
      <c r="S28" s="86"/>
      <c r="T28" s="86"/>
      <c r="U28" s="87"/>
    </row>
    <row r="29" spans="1:22" ht="51" customHeight="1" x14ac:dyDescent="0.2">
      <c r="B29" s="85" t="s">
        <v>331</v>
      </c>
      <c r="C29" s="86"/>
      <c r="D29" s="86"/>
      <c r="E29" s="86"/>
      <c r="F29" s="86"/>
      <c r="G29" s="86"/>
      <c r="H29" s="86"/>
      <c r="I29" s="86"/>
      <c r="J29" s="86"/>
      <c r="K29" s="86"/>
      <c r="L29" s="86"/>
      <c r="M29" s="86"/>
      <c r="N29" s="86"/>
      <c r="O29" s="86"/>
      <c r="P29" s="86"/>
      <c r="Q29" s="86"/>
      <c r="R29" s="86"/>
      <c r="S29" s="86"/>
      <c r="T29" s="86"/>
      <c r="U29" s="87"/>
    </row>
    <row r="30" spans="1:22" ht="65.25" customHeight="1" x14ac:dyDescent="0.2">
      <c r="B30" s="85" t="s">
        <v>332</v>
      </c>
      <c r="C30" s="86"/>
      <c r="D30" s="86"/>
      <c r="E30" s="86"/>
      <c r="F30" s="86"/>
      <c r="G30" s="86"/>
      <c r="H30" s="86"/>
      <c r="I30" s="86"/>
      <c r="J30" s="86"/>
      <c r="K30" s="86"/>
      <c r="L30" s="86"/>
      <c r="M30" s="86"/>
      <c r="N30" s="86"/>
      <c r="O30" s="86"/>
      <c r="P30" s="86"/>
      <c r="Q30" s="86"/>
      <c r="R30" s="86"/>
      <c r="S30" s="86"/>
      <c r="T30" s="86"/>
      <c r="U30" s="87"/>
    </row>
    <row r="31" spans="1:22" ht="54" customHeight="1" x14ac:dyDescent="0.2">
      <c r="B31" s="85" t="s">
        <v>333</v>
      </c>
      <c r="C31" s="86"/>
      <c r="D31" s="86"/>
      <c r="E31" s="86"/>
      <c r="F31" s="86"/>
      <c r="G31" s="86"/>
      <c r="H31" s="86"/>
      <c r="I31" s="86"/>
      <c r="J31" s="86"/>
      <c r="K31" s="86"/>
      <c r="L31" s="86"/>
      <c r="M31" s="86"/>
      <c r="N31" s="86"/>
      <c r="O31" s="86"/>
      <c r="P31" s="86"/>
      <c r="Q31" s="86"/>
      <c r="R31" s="86"/>
      <c r="S31" s="86"/>
      <c r="T31" s="86"/>
      <c r="U31" s="87"/>
    </row>
    <row r="32" spans="1:22" ht="52.5" customHeight="1" x14ac:dyDescent="0.2">
      <c r="B32" s="85" t="s">
        <v>334</v>
      </c>
      <c r="C32" s="86"/>
      <c r="D32" s="86"/>
      <c r="E32" s="86"/>
      <c r="F32" s="86"/>
      <c r="G32" s="86"/>
      <c r="H32" s="86"/>
      <c r="I32" s="86"/>
      <c r="J32" s="86"/>
      <c r="K32" s="86"/>
      <c r="L32" s="86"/>
      <c r="M32" s="86"/>
      <c r="N32" s="86"/>
      <c r="O32" s="86"/>
      <c r="P32" s="86"/>
      <c r="Q32" s="86"/>
      <c r="R32" s="86"/>
      <c r="S32" s="86"/>
      <c r="T32" s="86"/>
      <c r="U32" s="87"/>
    </row>
    <row r="33" spans="2:21" ht="55.5" customHeight="1" x14ac:dyDescent="0.2">
      <c r="B33" s="85" t="s">
        <v>335</v>
      </c>
      <c r="C33" s="86"/>
      <c r="D33" s="86"/>
      <c r="E33" s="86"/>
      <c r="F33" s="86"/>
      <c r="G33" s="86"/>
      <c r="H33" s="86"/>
      <c r="I33" s="86"/>
      <c r="J33" s="86"/>
      <c r="K33" s="86"/>
      <c r="L33" s="86"/>
      <c r="M33" s="86"/>
      <c r="N33" s="86"/>
      <c r="O33" s="86"/>
      <c r="P33" s="86"/>
      <c r="Q33" s="86"/>
      <c r="R33" s="86"/>
      <c r="S33" s="86"/>
      <c r="T33" s="86"/>
      <c r="U33" s="87"/>
    </row>
    <row r="34" spans="2:21" ht="47.25" customHeight="1" x14ac:dyDescent="0.2">
      <c r="B34" s="85" t="s">
        <v>336</v>
      </c>
      <c r="C34" s="86"/>
      <c r="D34" s="86"/>
      <c r="E34" s="86"/>
      <c r="F34" s="86"/>
      <c r="G34" s="86"/>
      <c r="H34" s="86"/>
      <c r="I34" s="86"/>
      <c r="J34" s="86"/>
      <c r="K34" s="86"/>
      <c r="L34" s="86"/>
      <c r="M34" s="86"/>
      <c r="N34" s="86"/>
      <c r="O34" s="86"/>
      <c r="P34" s="86"/>
      <c r="Q34" s="86"/>
      <c r="R34" s="86"/>
      <c r="S34" s="86"/>
      <c r="T34" s="86"/>
      <c r="U34" s="87"/>
    </row>
    <row r="35" spans="2:21" ht="44.25" customHeight="1" x14ac:dyDescent="0.2">
      <c r="B35" s="85" t="s">
        <v>337</v>
      </c>
      <c r="C35" s="86"/>
      <c r="D35" s="86"/>
      <c r="E35" s="86"/>
      <c r="F35" s="86"/>
      <c r="G35" s="86"/>
      <c r="H35" s="86"/>
      <c r="I35" s="86"/>
      <c r="J35" s="86"/>
      <c r="K35" s="86"/>
      <c r="L35" s="86"/>
      <c r="M35" s="86"/>
      <c r="N35" s="86"/>
      <c r="O35" s="86"/>
      <c r="P35" s="86"/>
      <c r="Q35" s="86"/>
      <c r="R35" s="86"/>
      <c r="S35" s="86"/>
      <c r="T35" s="86"/>
      <c r="U35" s="87"/>
    </row>
    <row r="36" spans="2:21" ht="47.25" customHeight="1" x14ac:dyDescent="0.2">
      <c r="B36" s="85" t="s">
        <v>338</v>
      </c>
      <c r="C36" s="86"/>
      <c r="D36" s="86"/>
      <c r="E36" s="86"/>
      <c r="F36" s="86"/>
      <c r="G36" s="86"/>
      <c r="H36" s="86"/>
      <c r="I36" s="86"/>
      <c r="J36" s="86"/>
      <c r="K36" s="86"/>
      <c r="L36" s="86"/>
      <c r="M36" s="86"/>
      <c r="N36" s="86"/>
      <c r="O36" s="86"/>
      <c r="P36" s="86"/>
      <c r="Q36" s="86"/>
      <c r="R36" s="86"/>
      <c r="S36" s="86"/>
      <c r="T36" s="86"/>
      <c r="U36" s="87"/>
    </row>
    <row r="37" spans="2:21" ht="46.5" customHeight="1" thickBot="1" x14ac:dyDescent="0.25">
      <c r="B37" s="95" t="s">
        <v>339</v>
      </c>
      <c r="C37" s="96"/>
      <c r="D37" s="96"/>
      <c r="E37" s="96"/>
      <c r="F37" s="96"/>
      <c r="G37" s="96"/>
      <c r="H37" s="96"/>
      <c r="I37" s="96"/>
      <c r="J37" s="96"/>
      <c r="K37" s="96"/>
      <c r="L37" s="96"/>
      <c r="M37" s="96"/>
      <c r="N37" s="96"/>
      <c r="O37" s="96"/>
      <c r="P37" s="96"/>
      <c r="Q37" s="96"/>
      <c r="R37" s="96"/>
      <c r="S37" s="96"/>
      <c r="T37" s="96"/>
      <c r="U37" s="97"/>
    </row>
  </sheetData>
  <mergeCells count="64">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1"/>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340</v>
      </c>
      <c r="D4" s="57" t="s">
        <v>341</v>
      </c>
      <c r="E4" s="57"/>
      <c r="F4" s="57"/>
      <c r="G4" s="57"/>
      <c r="H4" s="57"/>
      <c r="I4" s="10"/>
      <c r="J4" s="11" t="s">
        <v>9</v>
      </c>
      <c r="K4" s="12" t="s">
        <v>10</v>
      </c>
      <c r="L4" s="58" t="s">
        <v>11</v>
      </c>
      <c r="M4" s="58"/>
      <c r="N4" s="58"/>
      <c r="O4" s="58"/>
      <c r="P4" s="11" t="s">
        <v>12</v>
      </c>
      <c r="Q4" s="58" t="s">
        <v>299</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197</v>
      </c>
      <c r="D6" s="60"/>
      <c r="E6" s="60"/>
      <c r="F6" s="60"/>
      <c r="G6" s="60"/>
      <c r="H6" s="14"/>
      <c r="I6" s="14"/>
      <c r="J6" s="14" t="s">
        <v>18</v>
      </c>
      <c r="K6" s="60" t="s">
        <v>198</v>
      </c>
      <c r="L6" s="60"/>
      <c r="M6" s="60"/>
      <c r="N6" s="15"/>
      <c r="O6" s="16" t="s">
        <v>20</v>
      </c>
      <c r="P6" s="60" t="s">
        <v>199</v>
      </c>
      <c r="Q6" s="60"/>
      <c r="R6" s="17"/>
      <c r="S6" s="16" t="s">
        <v>22</v>
      </c>
      <c r="T6" s="60" t="s">
        <v>300</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75" customHeight="1" thickTop="1" x14ac:dyDescent="0.2">
      <c r="A11" s="21"/>
      <c r="B11" s="22" t="s">
        <v>38</v>
      </c>
      <c r="C11" s="83" t="s">
        <v>301</v>
      </c>
      <c r="D11" s="83"/>
      <c r="E11" s="83"/>
      <c r="F11" s="83"/>
      <c r="G11" s="83"/>
      <c r="H11" s="83"/>
      <c r="I11" s="83" t="s">
        <v>342</v>
      </c>
      <c r="J11" s="83"/>
      <c r="K11" s="83"/>
      <c r="L11" s="83" t="s">
        <v>343</v>
      </c>
      <c r="M11" s="83"/>
      <c r="N11" s="83"/>
      <c r="O11" s="83"/>
      <c r="P11" s="23" t="s">
        <v>42</v>
      </c>
      <c r="Q11" s="23" t="s">
        <v>43</v>
      </c>
      <c r="R11" s="23">
        <v>50.7</v>
      </c>
      <c r="S11" s="23">
        <v>50.7</v>
      </c>
      <c r="T11" s="23">
        <v>63.02</v>
      </c>
      <c r="U11" s="47">
        <f>124.3</f>
        <v>124.3</v>
      </c>
    </row>
    <row r="12" spans="1:21" ht="75" customHeight="1" thickBot="1" x14ac:dyDescent="0.25">
      <c r="A12" s="21"/>
      <c r="B12" s="24" t="s">
        <v>54</v>
      </c>
      <c r="C12" s="84" t="s">
        <v>54</v>
      </c>
      <c r="D12" s="84"/>
      <c r="E12" s="84"/>
      <c r="F12" s="84"/>
      <c r="G12" s="84"/>
      <c r="H12" s="84"/>
      <c r="I12" s="84" t="s">
        <v>344</v>
      </c>
      <c r="J12" s="84"/>
      <c r="K12" s="84"/>
      <c r="L12" s="84" t="s">
        <v>345</v>
      </c>
      <c r="M12" s="84"/>
      <c r="N12" s="84"/>
      <c r="O12" s="84"/>
      <c r="P12" s="25" t="s">
        <v>42</v>
      </c>
      <c r="Q12" s="25" t="s">
        <v>43</v>
      </c>
      <c r="R12" s="25">
        <v>65.83</v>
      </c>
      <c r="S12" s="25">
        <v>65.83</v>
      </c>
      <c r="T12" s="25">
        <v>95.69</v>
      </c>
      <c r="U12" s="26">
        <f>145.4</f>
        <v>145.4</v>
      </c>
    </row>
    <row r="13" spans="1:21" ht="87" customHeight="1" thickTop="1" x14ac:dyDescent="0.2">
      <c r="A13" s="21"/>
      <c r="B13" s="22" t="s">
        <v>44</v>
      </c>
      <c r="C13" s="83" t="s">
        <v>346</v>
      </c>
      <c r="D13" s="83"/>
      <c r="E13" s="83"/>
      <c r="F13" s="83"/>
      <c r="G13" s="83"/>
      <c r="H13" s="83"/>
      <c r="I13" s="83" t="s">
        <v>347</v>
      </c>
      <c r="J13" s="83"/>
      <c r="K13" s="83"/>
      <c r="L13" s="83" t="s">
        <v>348</v>
      </c>
      <c r="M13" s="83"/>
      <c r="N13" s="83"/>
      <c r="O13" s="83"/>
      <c r="P13" s="23" t="s">
        <v>42</v>
      </c>
      <c r="Q13" s="23" t="s">
        <v>43</v>
      </c>
      <c r="R13" s="23">
        <v>58.6</v>
      </c>
      <c r="S13" s="23">
        <v>58.6</v>
      </c>
      <c r="T13" s="23">
        <v>115.7</v>
      </c>
      <c r="U13" s="47">
        <f>197.4</f>
        <v>197.4</v>
      </c>
    </row>
    <row r="14" spans="1:21" ht="96" customHeight="1" x14ac:dyDescent="0.2">
      <c r="A14" s="21"/>
      <c r="B14" s="24" t="s">
        <v>54</v>
      </c>
      <c r="C14" s="84" t="s">
        <v>54</v>
      </c>
      <c r="D14" s="84"/>
      <c r="E14" s="84"/>
      <c r="F14" s="84"/>
      <c r="G14" s="84"/>
      <c r="H14" s="84"/>
      <c r="I14" s="84" t="s">
        <v>349</v>
      </c>
      <c r="J14" s="84"/>
      <c r="K14" s="84"/>
      <c r="L14" s="84" t="s">
        <v>350</v>
      </c>
      <c r="M14" s="84"/>
      <c r="N14" s="84"/>
      <c r="O14" s="84"/>
      <c r="P14" s="25" t="s">
        <v>42</v>
      </c>
      <c r="Q14" s="25" t="s">
        <v>43</v>
      </c>
      <c r="R14" s="25">
        <v>98.4</v>
      </c>
      <c r="S14" s="25">
        <v>98.4</v>
      </c>
      <c r="T14" s="25">
        <v>141.69999999999999</v>
      </c>
      <c r="U14" s="26">
        <f>144</f>
        <v>144</v>
      </c>
    </row>
    <row r="15" spans="1:21" ht="75" customHeight="1" thickBot="1" x14ac:dyDescent="0.25">
      <c r="A15" s="21"/>
      <c r="B15" s="24" t="s">
        <v>54</v>
      </c>
      <c r="C15" s="84" t="s">
        <v>54</v>
      </c>
      <c r="D15" s="84"/>
      <c r="E15" s="84"/>
      <c r="F15" s="84"/>
      <c r="G15" s="84"/>
      <c r="H15" s="84"/>
      <c r="I15" s="84" t="s">
        <v>351</v>
      </c>
      <c r="J15" s="84"/>
      <c r="K15" s="84"/>
      <c r="L15" s="84" t="s">
        <v>352</v>
      </c>
      <c r="M15" s="84"/>
      <c r="N15" s="84"/>
      <c r="O15" s="84"/>
      <c r="P15" s="25" t="s">
        <v>42</v>
      </c>
      <c r="Q15" s="25" t="s">
        <v>353</v>
      </c>
      <c r="R15" s="25">
        <v>89.5</v>
      </c>
      <c r="S15" s="25">
        <v>89.5</v>
      </c>
      <c r="T15" s="25">
        <v>97.78</v>
      </c>
      <c r="U15" s="26">
        <f>109.3</f>
        <v>109.3</v>
      </c>
    </row>
    <row r="16" spans="1:21" ht="75" customHeight="1" thickTop="1" x14ac:dyDescent="0.2">
      <c r="A16" s="21"/>
      <c r="B16" s="22" t="s">
        <v>49</v>
      </c>
      <c r="C16" s="83" t="s">
        <v>354</v>
      </c>
      <c r="D16" s="83"/>
      <c r="E16" s="83"/>
      <c r="F16" s="83"/>
      <c r="G16" s="83"/>
      <c r="H16" s="83"/>
      <c r="I16" s="83" t="s">
        <v>355</v>
      </c>
      <c r="J16" s="83"/>
      <c r="K16" s="83"/>
      <c r="L16" s="83" t="s">
        <v>356</v>
      </c>
      <c r="M16" s="83"/>
      <c r="N16" s="83"/>
      <c r="O16" s="83"/>
      <c r="P16" s="23" t="s">
        <v>42</v>
      </c>
      <c r="Q16" s="23" t="s">
        <v>327</v>
      </c>
      <c r="R16" s="23">
        <v>100</v>
      </c>
      <c r="S16" s="23">
        <v>100</v>
      </c>
      <c r="T16" s="23">
        <v>89.38</v>
      </c>
      <c r="U16" s="47">
        <f>89.4</f>
        <v>89.4</v>
      </c>
    </row>
    <row r="17" spans="1:22" ht="75" customHeight="1" x14ac:dyDescent="0.2">
      <c r="A17" s="21"/>
      <c r="B17" s="24" t="s">
        <v>54</v>
      </c>
      <c r="C17" s="84" t="s">
        <v>54</v>
      </c>
      <c r="D17" s="84"/>
      <c r="E17" s="84"/>
      <c r="F17" s="84"/>
      <c r="G17" s="84"/>
      <c r="H17" s="84"/>
      <c r="I17" s="84" t="s">
        <v>357</v>
      </c>
      <c r="J17" s="84"/>
      <c r="K17" s="84"/>
      <c r="L17" s="84" t="s">
        <v>358</v>
      </c>
      <c r="M17" s="84"/>
      <c r="N17" s="84"/>
      <c r="O17" s="84"/>
      <c r="P17" s="25" t="s">
        <v>42</v>
      </c>
      <c r="Q17" s="25" t="s">
        <v>327</v>
      </c>
      <c r="R17" s="25">
        <v>100</v>
      </c>
      <c r="S17" s="25">
        <v>100</v>
      </c>
      <c r="T17" s="25">
        <v>100</v>
      </c>
      <c r="U17" s="26">
        <f>100</f>
        <v>100</v>
      </c>
    </row>
    <row r="18" spans="1:22" ht="75" customHeight="1" x14ac:dyDescent="0.2">
      <c r="A18" s="21"/>
      <c r="B18" s="24" t="s">
        <v>54</v>
      </c>
      <c r="C18" s="84" t="s">
        <v>54</v>
      </c>
      <c r="D18" s="84"/>
      <c r="E18" s="84"/>
      <c r="F18" s="84"/>
      <c r="G18" s="84"/>
      <c r="H18" s="84"/>
      <c r="I18" s="84" t="s">
        <v>359</v>
      </c>
      <c r="J18" s="84"/>
      <c r="K18" s="84"/>
      <c r="L18" s="84" t="s">
        <v>360</v>
      </c>
      <c r="M18" s="84"/>
      <c r="N18" s="84"/>
      <c r="O18" s="84"/>
      <c r="P18" s="25" t="s">
        <v>361</v>
      </c>
      <c r="Q18" s="25" t="s">
        <v>320</v>
      </c>
      <c r="R18" s="25">
        <v>9712.5</v>
      </c>
      <c r="S18" s="25">
        <v>9712.5</v>
      </c>
      <c r="T18" s="25">
        <v>16004.5</v>
      </c>
      <c r="U18" s="26">
        <f>164.8</f>
        <v>164.8</v>
      </c>
    </row>
    <row r="19" spans="1:22" ht="75" customHeight="1" thickBot="1" x14ac:dyDescent="0.25">
      <c r="A19" s="21"/>
      <c r="B19" s="24" t="s">
        <v>54</v>
      </c>
      <c r="C19" s="84" t="s">
        <v>54</v>
      </c>
      <c r="D19" s="84"/>
      <c r="E19" s="84"/>
      <c r="F19" s="84"/>
      <c r="G19" s="84"/>
      <c r="H19" s="84"/>
      <c r="I19" s="84" t="s">
        <v>362</v>
      </c>
      <c r="J19" s="84"/>
      <c r="K19" s="84"/>
      <c r="L19" s="84" t="s">
        <v>363</v>
      </c>
      <c r="M19" s="84"/>
      <c r="N19" s="84"/>
      <c r="O19" s="84"/>
      <c r="P19" s="25" t="s">
        <v>361</v>
      </c>
      <c r="Q19" s="25" t="s">
        <v>320</v>
      </c>
      <c r="R19" s="25">
        <v>17754</v>
      </c>
      <c r="S19" s="25">
        <v>17754</v>
      </c>
      <c r="T19" s="25">
        <v>113758.7</v>
      </c>
      <c r="U19" s="26">
        <f>640.7</f>
        <v>640.70000000000005</v>
      </c>
    </row>
    <row r="20" spans="1:22" ht="75" customHeight="1" thickTop="1" x14ac:dyDescent="0.2">
      <c r="A20" s="21"/>
      <c r="B20" s="22" t="s">
        <v>63</v>
      </c>
      <c r="C20" s="83" t="s">
        <v>364</v>
      </c>
      <c r="D20" s="83"/>
      <c r="E20" s="83"/>
      <c r="F20" s="83"/>
      <c r="G20" s="83"/>
      <c r="H20" s="83"/>
      <c r="I20" s="83" t="s">
        <v>365</v>
      </c>
      <c r="J20" s="83"/>
      <c r="K20" s="83"/>
      <c r="L20" s="83" t="s">
        <v>366</v>
      </c>
      <c r="M20" s="83"/>
      <c r="N20" s="83"/>
      <c r="O20" s="83"/>
      <c r="P20" s="23" t="s">
        <v>319</v>
      </c>
      <c r="Q20" s="23" t="s">
        <v>320</v>
      </c>
      <c r="R20" s="23">
        <v>2.25</v>
      </c>
      <c r="S20" s="23">
        <v>2.25</v>
      </c>
      <c r="T20" s="23">
        <v>3</v>
      </c>
      <c r="U20" s="47">
        <v>133.30000000000001</v>
      </c>
    </row>
    <row r="21" spans="1:22" ht="75" customHeight="1" x14ac:dyDescent="0.2">
      <c r="A21" s="21"/>
      <c r="B21" s="24" t="s">
        <v>54</v>
      </c>
      <c r="C21" s="84" t="s">
        <v>367</v>
      </c>
      <c r="D21" s="84"/>
      <c r="E21" s="84"/>
      <c r="F21" s="84"/>
      <c r="G21" s="84"/>
      <c r="H21" s="84"/>
      <c r="I21" s="84" t="s">
        <v>368</v>
      </c>
      <c r="J21" s="84"/>
      <c r="K21" s="84"/>
      <c r="L21" s="84" t="s">
        <v>369</v>
      </c>
      <c r="M21" s="84"/>
      <c r="N21" s="84"/>
      <c r="O21" s="84"/>
      <c r="P21" s="25" t="s">
        <v>42</v>
      </c>
      <c r="Q21" s="25" t="s">
        <v>320</v>
      </c>
      <c r="R21" s="25">
        <v>100</v>
      </c>
      <c r="S21" s="25">
        <v>100</v>
      </c>
      <c r="T21" s="25">
        <v>6.67</v>
      </c>
      <c r="U21" s="26">
        <f>6.7</f>
        <v>6.7</v>
      </c>
    </row>
    <row r="22" spans="1:22" ht="75" customHeight="1" x14ac:dyDescent="0.2">
      <c r="A22" s="21"/>
      <c r="B22" s="24" t="s">
        <v>54</v>
      </c>
      <c r="C22" s="84" t="s">
        <v>370</v>
      </c>
      <c r="D22" s="84"/>
      <c r="E22" s="84"/>
      <c r="F22" s="84"/>
      <c r="G22" s="84"/>
      <c r="H22" s="84"/>
      <c r="I22" s="84" t="s">
        <v>368</v>
      </c>
      <c r="J22" s="84"/>
      <c r="K22" s="84"/>
      <c r="L22" s="84" t="s">
        <v>371</v>
      </c>
      <c r="M22" s="84"/>
      <c r="N22" s="84"/>
      <c r="O22" s="84"/>
      <c r="P22" s="25" t="s">
        <v>42</v>
      </c>
      <c r="Q22" s="25" t="s">
        <v>320</v>
      </c>
      <c r="R22" s="25">
        <v>100</v>
      </c>
      <c r="S22" s="25">
        <v>100</v>
      </c>
      <c r="T22" s="25">
        <v>13.33</v>
      </c>
      <c r="U22" s="26">
        <f>13.3</f>
        <v>13.3</v>
      </c>
    </row>
    <row r="23" spans="1:22" ht="75" customHeight="1" x14ac:dyDescent="0.2">
      <c r="A23" s="21"/>
      <c r="B23" s="24" t="s">
        <v>54</v>
      </c>
      <c r="C23" s="84" t="s">
        <v>372</v>
      </c>
      <c r="D23" s="84"/>
      <c r="E23" s="84"/>
      <c r="F23" s="84"/>
      <c r="G23" s="84"/>
      <c r="H23" s="84"/>
      <c r="I23" s="84" t="s">
        <v>373</v>
      </c>
      <c r="J23" s="84"/>
      <c r="K23" s="84"/>
      <c r="L23" s="84" t="s">
        <v>374</v>
      </c>
      <c r="M23" s="84"/>
      <c r="N23" s="84"/>
      <c r="O23" s="84"/>
      <c r="P23" s="25" t="s">
        <v>42</v>
      </c>
      <c r="Q23" s="25" t="s">
        <v>320</v>
      </c>
      <c r="R23" s="25">
        <v>10</v>
      </c>
      <c r="S23" s="25">
        <v>10</v>
      </c>
      <c r="T23" s="25">
        <v>0</v>
      </c>
      <c r="U23" s="26">
        <f>0</f>
        <v>0</v>
      </c>
    </row>
    <row r="24" spans="1:22" ht="75" customHeight="1" x14ac:dyDescent="0.2">
      <c r="A24" s="21"/>
      <c r="B24" s="24" t="s">
        <v>54</v>
      </c>
      <c r="C24" s="84" t="s">
        <v>375</v>
      </c>
      <c r="D24" s="84"/>
      <c r="E24" s="84"/>
      <c r="F24" s="84"/>
      <c r="G24" s="84"/>
      <c r="H24" s="84"/>
      <c r="I24" s="84" t="s">
        <v>376</v>
      </c>
      <c r="J24" s="84"/>
      <c r="K24" s="84"/>
      <c r="L24" s="84" t="s">
        <v>366</v>
      </c>
      <c r="M24" s="84"/>
      <c r="N24" s="84"/>
      <c r="O24" s="84"/>
      <c r="P24" s="25" t="s">
        <v>319</v>
      </c>
      <c r="Q24" s="25" t="s">
        <v>320</v>
      </c>
      <c r="R24" s="25">
        <v>0.2</v>
      </c>
      <c r="S24" s="25">
        <v>0.2</v>
      </c>
      <c r="T24" s="25">
        <v>0.25</v>
      </c>
      <c r="U24" s="26">
        <v>125</v>
      </c>
    </row>
    <row r="25" spans="1:22" ht="75" customHeight="1" x14ac:dyDescent="0.2">
      <c r="A25" s="21"/>
      <c r="B25" s="24" t="s">
        <v>54</v>
      </c>
      <c r="C25" s="84" t="s">
        <v>377</v>
      </c>
      <c r="D25" s="84"/>
      <c r="E25" s="84"/>
      <c r="F25" s="84"/>
      <c r="G25" s="84"/>
      <c r="H25" s="84"/>
      <c r="I25" s="84" t="s">
        <v>368</v>
      </c>
      <c r="J25" s="84"/>
      <c r="K25" s="84"/>
      <c r="L25" s="84" t="s">
        <v>378</v>
      </c>
      <c r="M25" s="84"/>
      <c r="N25" s="84"/>
      <c r="O25" s="84"/>
      <c r="P25" s="25" t="s">
        <v>42</v>
      </c>
      <c r="Q25" s="25" t="s">
        <v>320</v>
      </c>
      <c r="R25" s="25">
        <v>100</v>
      </c>
      <c r="S25" s="25">
        <v>100</v>
      </c>
      <c r="T25" s="25">
        <v>20</v>
      </c>
      <c r="U25" s="26">
        <f>20</f>
        <v>20</v>
      </c>
    </row>
    <row r="26" spans="1:22" ht="75" customHeight="1" x14ac:dyDescent="0.2">
      <c r="A26" s="21"/>
      <c r="B26" s="24" t="s">
        <v>54</v>
      </c>
      <c r="C26" s="84" t="s">
        <v>379</v>
      </c>
      <c r="D26" s="84"/>
      <c r="E26" s="84"/>
      <c r="F26" s="84"/>
      <c r="G26" s="84"/>
      <c r="H26" s="84"/>
      <c r="I26" s="84" t="s">
        <v>380</v>
      </c>
      <c r="J26" s="84"/>
      <c r="K26" s="84"/>
      <c r="L26" s="84" t="s">
        <v>371</v>
      </c>
      <c r="M26" s="84"/>
      <c r="N26" s="84"/>
      <c r="O26" s="84"/>
      <c r="P26" s="25" t="s">
        <v>42</v>
      </c>
      <c r="Q26" s="25" t="s">
        <v>320</v>
      </c>
      <c r="R26" s="25">
        <v>100</v>
      </c>
      <c r="S26" s="25">
        <v>100</v>
      </c>
      <c r="T26" s="25">
        <v>20</v>
      </c>
      <c r="U26" s="26">
        <f>20</f>
        <v>20</v>
      </c>
    </row>
    <row r="27" spans="1:22" ht="75" customHeight="1" thickBot="1" x14ac:dyDescent="0.25">
      <c r="A27" s="21"/>
      <c r="B27" s="24" t="s">
        <v>54</v>
      </c>
      <c r="C27" s="84" t="s">
        <v>381</v>
      </c>
      <c r="D27" s="84"/>
      <c r="E27" s="84"/>
      <c r="F27" s="84"/>
      <c r="G27" s="84"/>
      <c r="H27" s="84"/>
      <c r="I27" s="84" t="s">
        <v>382</v>
      </c>
      <c r="J27" s="84"/>
      <c r="K27" s="84"/>
      <c r="L27" s="84" t="s">
        <v>383</v>
      </c>
      <c r="M27" s="84"/>
      <c r="N27" s="84"/>
      <c r="O27" s="84"/>
      <c r="P27" s="25" t="s">
        <v>42</v>
      </c>
      <c r="Q27" s="25" t="s">
        <v>320</v>
      </c>
      <c r="R27" s="25">
        <v>40</v>
      </c>
      <c r="S27" s="25">
        <v>40</v>
      </c>
      <c r="T27" s="25">
        <v>0</v>
      </c>
      <c r="U27" s="26">
        <f>0</f>
        <v>0</v>
      </c>
    </row>
    <row r="28" spans="1:22" ht="14.25" customHeight="1" thickTop="1" thickBot="1" x14ac:dyDescent="0.25">
      <c r="B28" s="4" t="s">
        <v>92</v>
      </c>
      <c r="C28" s="5"/>
      <c r="D28" s="5"/>
      <c r="E28" s="5"/>
      <c r="F28" s="5"/>
      <c r="G28" s="5"/>
      <c r="H28" s="6"/>
      <c r="I28" s="6"/>
      <c r="J28" s="6"/>
      <c r="K28" s="6"/>
      <c r="L28" s="6"/>
      <c r="M28" s="6"/>
      <c r="N28" s="6"/>
      <c r="O28" s="6"/>
      <c r="P28" s="6"/>
      <c r="Q28" s="6"/>
      <c r="R28" s="6"/>
      <c r="S28" s="6"/>
      <c r="T28" s="6"/>
      <c r="U28" s="7"/>
      <c r="V28" s="27"/>
    </row>
    <row r="29" spans="1:22" ht="26.25" customHeight="1" thickTop="1" x14ac:dyDescent="0.2">
      <c r="B29" s="28"/>
      <c r="C29" s="29"/>
      <c r="D29" s="29"/>
      <c r="E29" s="29"/>
      <c r="F29" s="29"/>
      <c r="G29" s="29"/>
      <c r="H29" s="30"/>
      <c r="I29" s="30"/>
      <c r="J29" s="30"/>
      <c r="K29" s="30"/>
      <c r="L29" s="30"/>
      <c r="M29" s="30"/>
      <c r="N29" s="30"/>
      <c r="O29" s="30"/>
      <c r="P29" s="30"/>
      <c r="Q29" s="30"/>
      <c r="R29" s="31"/>
      <c r="S29" s="32" t="s">
        <v>33</v>
      </c>
      <c r="T29" s="32" t="s">
        <v>93</v>
      </c>
      <c r="U29" s="18" t="s">
        <v>94</v>
      </c>
    </row>
    <row r="30" spans="1:22" ht="26.25" customHeight="1" thickBot="1" x14ac:dyDescent="0.25">
      <c r="B30" s="33"/>
      <c r="C30" s="34"/>
      <c r="D30" s="34"/>
      <c r="E30" s="34"/>
      <c r="F30" s="34"/>
      <c r="G30" s="34"/>
      <c r="H30" s="35"/>
      <c r="I30" s="35"/>
      <c r="J30" s="35"/>
      <c r="K30" s="35"/>
      <c r="L30" s="35"/>
      <c r="M30" s="35"/>
      <c r="N30" s="35"/>
      <c r="O30" s="35"/>
      <c r="P30" s="35"/>
      <c r="Q30" s="35"/>
      <c r="R30" s="35"/>
      <c r="S30" s="36" t="s">
        <v>95</v>
      </c>
      <c r="T30" s="37" t="s">
        <v>95</v>
      </c>
      <c r="U30" s="37" t="s">
        <v>96</v>
      </c>
    </row>
    <row r="31" spans="1:22" ht="13.5" customHeight="1" thickBot="1" x14ac:dyDescent="0.25">
      <c r="B31" s="88" t="s">
        <v>97</v>
      </c>
      <c r="C31" s="89"/>
      <c r="D31" s="89"/>
      <c r="E31" s="38"/>
      <c r="F31" s="38"/>
      <c r="G31" s="38"/>
      <c r="H31" s="39"/>
      <c r="I31" s="39"/>
      <c r="J31" s="39"/>
      <c r="K31" s="39"/>
      <c r="L31" s="39"/>
      <c r="M31" s="39"/>
      <c r="N31" s="39"/>
      <c r="O31" s="39"/>
      <c r="P31" s="40"/>
      <c r="Q31" s="40"/>
      <c r="R31" s="40"/>
      <c r="S31" s="48">
        <v>150</v>
      </c>
      <c r="T31" s="48">
        <v>114.83272606999999</v>
      </c>
      <c r="U31" s="49">
        <f>+IF(ISERR(T31/S31*100),"N/A",ROUND(T31/S31*100,1))</f>
        <v>76.599999999999994</v>
      </c>
    </row>
    <row r="32" spans="1:22" ht="13.5" customHeight="1" thickBot="1" x14ac:dyDescent="0.25">
      <c r="B32" s="90" t="s">
        <v>98</v>
      </c>
      <c r="C32" s="91"/>
      <c r="D32" s="91"/>
      <c r="E32" s="41"/>
      <c r="F32" s="41"/>
      <c r="G32" s="41"/>
      <c r="H32" s="42"/>
      <c r="I32" s="42"/>
      <c r="J32" s="42"/>
      <c r="K32" s="42"/>
      <c r="L32" s="42"/>
      <c r="M32" s="42"/>
      <c r="N32" s="42"/>
      <c r="O32" s="42"/>
      <c r="P32" s="43"/>
      <c r="Q32" s="43"/>
      <c r="R32" s="43"/>
      <c r="S32" s="48">
        <v>114.83272606999999</v>
      </c>
      <c r="T32" s="48">
        <v>114.83272606999999</v>
      </c>
      <c r="U32" s="49">
        <f>+IF(ISERR(T32/S32*100),"N/A",ROUND(T32/S32*100,1))</f>
        <v>100</v>
      </c>
    </row>
    <row r="33" spans="2:21" ht="14.85" customHeight="1" thickTop="1" thickBot="1" x14ac:dyDescent="0.25">
      <c r="B33" s="4" t="s">
        <v>99</v>
      </c>
      <c r="C33" s="5"/>
      <c r="D33" s="5"/>
      <c r="E33" s="5"/>
      <c r="F33" s="5"/>
      <c r="G33" s="5"/>
      <c r="H33" s="6"/>
      <c r="I33" s="6"/>
      <c r="J33" s="6"/>
      <c r="K33" s="6"/>
      <c r="L33" s="6"/>
      <c r="M33" s="6"/>
      <c r="N33" s="6"/>
      <c r="O33" s="6"/>
      <c r="P33" s="6"/>
      <c r="Q33" s="6"/>
      <c r="R33" s="6"/>
      <c r="S33" s="6"/>
      <c r="T33" s="6"/>
      <c r="U33" s="7"/>
    </row>
    <row r="34" spans="2:21" ht="44.25" customHeight="1" thickTop="1" x14ac:dyDescent="0.2">
      <c r="B34" s="92" t="s">
        <v>100</v>
      </c>
      <c r="C34" s="93"/>
      <c r="D34" s="93"/>
      <c r="E34" s="93"/>
      <c r="F34" s="93"/>
      <c r="G34" s="93"/>
      <c r="H34" s="93"/>
      <c r="I34" s="93"/>
      <c r="J34" s="93"/>
      <c r="K34" s="93"/>
      <c r="L34" s="93"/>
      <c r="M34" s="93"/>
      <c r="N34" s="93"/>
      <c r="O34" s="93"/>
      <c r="P34" s="93"/>
      <c r="Q34" s="93"/>
      <c r="R34" s="93"/>
      <c r="S34" s="93"/>
      <c r="T34" s="93"/>
      <c r="U34" s="94"/>
    </row>
    <row r="35" spans="2:21" ht="43.5" customHeight="1" x14ac:dyDescent="0.2">
      <c r="B35" s="85" t="s">
        <v>384</v>
      </c>
      <c r="C35" s="86"/>
      <c r="D35" s="86"/>
      <c r="E35" s="86"/>
      <c r="F35" s="86"/>
      <c r="G35" s="86"/>
      <c r="H35" s="86"/>
      <c r="I35" s="86"/>
      <c r="J35" s="86"/>
      <c r="K35" s="86"/>
      <c r="L35" s="86"/>
      <c r="M35" s="86"/>
      <c r="N35" s="86"/>
      <c r="O35" s="86"/>
      <c r="P35" s="86"/>
      <c r="Q35" s="86"/>
      <c r="R35" s="86"/>
      <c r="S35" s="86"/>
      <c r="T35" s="86"/>
      <c r="U35" s="87"/>
    </row>
    <row r="36" spans="2:21" ht="43.5" customHeight="1" x14ac:dyDescent="0.2">
      <c r="B36" s="85" t="s">
        <v>385</v>
      </c>
      <c r="C36" s="86"/>
      <c r="D36" s="86"/>
      <c r="E36" s="86"/>
      <c r="F36" s="86"/>
      <c r="G36" s="86"/>
      <c r="H36" s="86"/>
      <c r="I36" s="86"/>
      <c r="J36" s="86"/>
      <c r="K36" s="86"/>
      <c r="L36" s="86"/>
      <c r="M36" s="86"/>
      <c r="N36" s="86"/>
      <c r="O36" s="86"/>
      <c r="P36" s="86"/>
      <c r="Q36" s="86"/>
      <c r="R36" s="86"/>
      <c r="S36" s="86"/>
      <c r="T36" s="86"/>
      <c r="U36" s="87"/>
    </row>
    <row r="37" spans="2:21" ht="69" customHeight="1" x14ac:dyDescent="0.2">
      <c r="B37" s="85" t="s">
        <v>386</v>
      </c>
      <c r="C37" s="86"/>
      <c r="D37" s="86"/>
      <c r="E37" s="86"/>
      <c r="F37" s="86"/>
      <c r="G37" s="86"/>
      <c r="H37" s="86"/>
      <c r="I37" s="86"/>
      <c r="J37" s="86"/>
      <c r="K37" s="86"/>
      <c r="L37" s="86"/>
      <c r="M37" s="86"/>
      <c r="N37" s="86"/>
      <c r="O37" s="86"/>
      <c r="P37" s="86"/>
      <c r="Q37" s="86"/>
      <c r="R37" s="86"/>
      <c r="S37" s="86"/>
      <c r="T37" s="86"/>
      <c r="U37" s="87"/>
    </row>
    <row r="38" spans="2:21" ht="60" customHeight="1" x14ac:dyDescent="0.2">
      <c r="B38" s="85" t="s">
        <v>387</v>
      </c>
      <c r="C38" s="86"/>
      <c r="D38" s="86"/>
      <c r="E38" s="86"/>
      <c r="F38" s="86"/>
      <c r="G38" s="86"/>
      <c r="H38" s="86"/>
      <c r="I38" s="86"/>
      <c r="J38" s="86"/>
      <c r="K38" s="86"/>
      <c r="L38" s="86"/>
      <c r="M38" s="86"/>
      <c r="N38" s="86"/>
      <c r="O38" s="86"/>
      <c r="P38" s="86"/>
      <c r="Q38" s="86"/>
      <c r="R38" s="86"/>
      <c r="S38" s="86"/>
      <c r="T38" s="86"/>
      <c r="U38" s="87"/>
    </row>
    <row r="39" spans="2:21" ht="57.75" customHeight="1" x14ac:dyDescent="0.2">
      <c r="B39" s="85" t="s">
        <v>388</v>
      </c>
      <c r="C39" s="86"/>
      <c r="D39" s="86"/>
      <c r="E39" s="86"/>
      <c r="F39" s="86"/>
      <c r="G39" s="86"/>
      <c r="H39" s="86"/>
      <c r="I39" s="86"/>
      <c r="J39" s="86"/>
      <c r="K39" s="86"/>
      <c r="L39" s="86"/>
      <c r="M39" s="86"/>
      <c r="N39" s="86"/>
      <c r="O39" s="86"/>
      <c r="P39" s="86"/>
      <c r="Q39" s="86"/>
      <c r="R39" s="86"/>
      <c r="S39" s="86"/>
      <c r="T39" s="86"/>
      <c r="U39" s="87"/>
    </row>
    <row r="40" spans="2:21" ht="53.25" customHeight="1" x14ac:dyDescent="0.2">
      <c r="B40" s="85" t="s">
        <v>389</v>
      </c>
      <c r="C40" s="86"/>
      <c r="D40" s="86"/>
      <c r="E40" s="86"/>
      <c r="F40" s="86"/>
      <c r="G40" s="86"/>
      <c r="H40" s="86"/>
      <c r="I40" s="86"/>
      <c r="J40" s="86"/>
      <c r="K40" s="86"/>
      <c r="L40" s="86"/>
      <c r="M40" s="86"/>
      <c r="N40" s="86"/>
      <c r="O40" s="86"/>
      <c r="P40" s="86"/>
      <c r="Q40" s="86"/>
      <c r="R40" s="86"/>
      <c r="S40" s="86"/>
      <c r="T40" s="86"/>
      <c r="U40" s="87"/>
    </row>
    <row r="41" spans="2:21" ht="46.5" customHeight="1" x14ac:dyDescent="0.2">
      <c r="B41" s="85" t="s">
        <v>390</v>
      </c>
      <c r="C41" s="86"/>
      <c r="D41" s="86"/>
      <c r="E41" s="86"/>
      <c r="F41" s="86"/>
      <c r="G41" s="86"/>
      <c r="H41" s="86"/>
      <c r="I41" s="86"/>
      <c r="J41" s="86"/>
      <c r="K41" s="86"/>
      <c r="L41" s="86"/>
      <c r="M41" s="86"/>
      <c r="N41" s="86"/>
      <c r="O41" s="86"/>
      <c r="P41" s="86"/>
      <c r="Q41" s="86"/>
      <c r="R41" s="86"/>
      <c r="S41" s="86"/>
      <c r="T41" s="86"/>
      <c r="U41" s="87"/>
    </row>
    <row r="42" spans="2:21" ht="51.75" customHeight="1" x14ac:dyDescent="0.2">
      <c r="B42" s="85" t="s">
        <v>391</v>
      </c>
      <c r="C42" s="86"/>
      <c r="D42" s="86"/>
      <c r="E42" s="86"/>
      <c r="F42" s="86"/>
      <c r="G42" s="86"/>
      <c r="H42" s="86"/>
      <c r="I42" s="86"/>
      <c r="J42" s="86"/>
      <c r="K42" s="86"/>
      <c r="L42" s="86"/>
      <c r="M42" s="86"/>
      <c r="N42" s="86"/>
      <c r="O42" s="86"/>
      <c r="P42" s="86"/>
      <c r="Q42" s="86"/>
      <c r="R42" s="86"/>
      <c r="S42" s="86"/>
      <c r="T42" s="86"/>
      <c r="U42" s="87"/>
    </row>
    <row r="43" spans="2:21" ht="47.25" customHeight="1" x14ac:dyDescent="0.2">
      <c r="B43" s="85" t="s">
        <v>392</v>
      </c>
      <c r="C43" s="86"/>
      <c r="D43" s="86"/>
      <c r="E43" s="86"/>
      <c r="F43" s="86"/>
      <c r="G43" s="86"/>
      <c r="H43" s="86"/>
      <c r="I43" s="86"/>
      <c r="J43" s="86"/>
      <c r="K43" s="86"/>
      <c r="L43" s="86"/>
      <c r="M43" s="86"/>
      <c r="N43" s="86"/>
      <c r="O43" s="86"/>
      <c r="P43" s="86"/>
      <c r="Q43" s="86"/>
      <c r="R43" s="86"/>
      <c r="S43" s="86"/>
      <c r="T43" s="86"/>
      <c r="U43" s="87"/>
    </row>
    <row r="44" spans="2:21" ht="57.75" customHeight="1" x14ac:dyDescent="0.2">
      <c r="B44" s="85" t="s">
        <v>393</v>
      </c>
      <c r="C44" s="86"/>
      <c r="D44" s="86"/>
      <c r="E44" s="86"/>
      <c r="F44" s="86"/>
      <c r="G44" s="86"/>
      <c r="H44" s="86"/>
      <c r="I44" s="86"/>
      <c r="J44" s="86"/>
      <c r="K44" s="86"/>
      <c r="L44" s="86"/>
      <c r="M44" s="86"/>
      <c r="N44" s="86"/>
      <c r="O44" s="86"/>
      <c r="P44" s="86"/>
      <c r="Q44" s="86"/>
      <c r="R44" s="86"/>
      <c r="S44" s="86"/>
      <c r="T44" s="86"/>
      <c r="U44" s="87"/>
    </row>
    <row r="45" spans="2:21" ht="41.25" customHeight="1" x14ac:dyDescent="0.2">
      <c r="B45" s="85" t="s">
        <v>394</v>
      </c>
      <c r="C45" s="86"/>
      <c r="D45" s="86"/>
      <c r="E45" s="86"/>
      <c r="F45" s="86"/>
      <c r="G45" s="86"/>
      <c r="H45" s="86"/>
      <c r="I45" s="86"/>
      <c r="J45" s="86"/>
      <c r="K45" s="86"/>
      <c r="L45" s="86"/>
      <c r="M45" s="86"/>
      <c r="N45" s="86"/>
      <c r="O45" s="86"/>
      <c r="P45" s="86"/>
      <c r="Q45" s="86"/>
      <c r="R45" s="86"/>
      <c r="S45" s="86"/>
      <c r="T45" s="86"/>
      <c r="U45" s="87"/>
    </row>
    <row r="46" spans="2:21" ht="38.25" customHeight="1" x14ac:dyDescent="0.2">
      <c r="B46" s="85" t="s">
        <v>395</v>
      </c>
      <c r="C46" s="86"/>
      <c r="D46" s="86"/>
      <c r="E46" s="86"/>
      <c r="F46" s="86"/>
      <c r="G46" s="86"/>
      <c r="H46" s="86"/>
      <c r="I46" s="86"/>
      <c r="J46" s="86"/>
      <c r="K46" s="86"/>
      <c r="L46" s="86"/>
      <c r="M46" s="86"/>
      <c r="N46" s="86"/>
      <c r="O46" s="86"/>
      <c r="P46" s="86"/>
      <c r="Q46" s="86"/>
      <c r="R46" s="86"/>
      <c r="S46" s="86"/>
      <c r="T46" s="86"/>
      <c r="U46" s="87"/>
    </row>
    <row r="47" spans="2:21" ht="49.5" customHeight="1" x14ac:dyDescent="0.2">
      <c r="B47" s="85" t="s">
        <v>396</v>
      </c>
      <c r="C47" s="86"/>
      <c r="D47" s="86"/>
      <c r="E47" s="86"/>
      <c r="F47" s="86"/>
      <c r="G47" s="86"/>
      <c r="H47" s="86"/>
      <c r="I47" s="86"/>
      <c r="J47" s="86"/>
      <c r="K47" s="86"/>
      <c r="L47" s="86"/>
      <c r="M47" s="86"/>
      <c r="N47" s="86"/>
      <c r="O47" s="86"/>
      <c r="P47" s="86"/>
      <c r="Q47" s="86"/>
      <c r="R47" s="86"/>
      <c r="S47" s="86"/>
      <c r="T47" s="86"/>
      <c r="U47" s="87"/>
    </row>
    <row r="48" spans="2:21" ht="56.25" customHeight="1" x14ac:dyDescent="0.2">
      <c r="B48" s="85" t="s">
        <v>397</v>
      </c>
      <c r="C48" s="86"/>
      <c r="D48" s="86"/>
      <c r="E48" s="86"/>
      <c r="F48" s="86"/>
      <c r="G48" s="86"/>
      <c r="H48" s="86"/>
      <c r="I48" s="86"/>
      <c r="J48" s="86"/>
      <c r="K48" s="86"/>
      <c r="L48" s="86"/>
      <c r="M48" s="86"/>
      <c r="N48" s="86"/>
      <c r="O48" s="86"/>
      <c r="P48" s="86"/>
      <c r="Q48" s="86"/>
      <c r="R48" s="86"/>
      <c r="S48" s="86"/>
      <c r="T48" s="86"/>
      <c r="U48" s="87"/>
    </row>
    <row r="49" spans="2:21" ht="34.5" customHeight="1" x14ac:dyDescent="0.2">
      <c r="B49" s="85" t="s">
        <v>398</v>
      </c>
      <c r="C49" s="86"/>
      <c r="D49" s="86"/>
      <c r="E49" s="86"/>
      <c r="F49" s="86"/>
      <c r="G49" s="86"/>
      <c r="H49" s="86"/>
      <c r="I49" s="86"/>
      <c r="J49" s="86"/>
      <c r="K49" s="86"/>
      <c r="L49" s="86"/>
      <c r="M49" s="86"/>
      <c r="N49" s="86"/>
      <c r="O49" s="86"/>
      <c r="P49" s="86"/>
      <c r="Q49" s="86"/>
      <c r="R49" s="86"/>
      <c r="S49" s="86"/>
      <c r="T49" s="86"/>
      <c r="U49" s="87"/>
    </row>
    <row r="50" spans="2:21" ht="40.5" customHeight="1" x14ac:dyDescent="0.2">
      <c r="B50" s="85" t="s">
        <v>399</v>
      </c>
      <c r="C50" s="86"/>
      <c r="D50" s="86"/>
      <c r="E50" s="86"/>
      <c r="F50" s="86"/>
      <c r="G50" s="86"/>
      <c r="H50" s="86"/>
      <c r="I50" s="86"/>
      <c r="J50" s="86"/>
      <c r="K50" s="86"/>
      <c r="L50" s="86"/>
      <c r="M50" s="86"/>
      <c r="N50" s="86"/>
      <c r="O50" s="86"/>
      <c r="P50" s="86"/>
      <c r="Q50" s="86"/>
      <c r="R50" s="86"/>
      <c r="S50" s="86"/>
      <c r="T50" s="86"/>
      <c r="U50" s="87"/>
    </row>
    <row r="51" spans="2:21" ht="52.5" customHeight="1" thickBot="1" x14ac:dyDescent="0.25">
      <c r="B51" s="95" t="s">
        <v>400</v>
      </c>
      <c r="C51" s="96"/>
      <c r="D51" s="96"/>
      <c r="E51" s="96"/>
      <c r="F51" s="96"/>
      <c r="G51" s="96"/>
      <c r="H51" s="96"/>
      <c r="I51" s="96"/>
      <c r="J51" s="96"/>
      <c r="K51" s="96"/>
      <c r="L51" s="96"/>
      <c r="M51" s="96"/>
      <c r="N51" s="96"/>
      <c r="O51" s="96"/>
      <c r="P51" s="96"/>
      <c r="Q51" s="96"/>
      <c r="R51" s="96"/>
      <c r="S51" s="96"/>
      <c r="T51" s="96"/>
      <c r="U51" s="97"/>
    </row>
  </sheetData>
  <mergeCells count="92">
    <mergeCell ref="B50:U50"/>
    <mergeCell ref="B51:U51"/>
    <mergeCell ref="B44:U44"/>
    <mergeCell ref="B45:U45"/>
    <mergeCell ref="B46:U46"/>
    <mergeCell ref="B47:U47"/>
    <mergeCell ref="B48:U48"/>
    <mergeCell ref="B49:U49"/>
    <mergeCell ref="B43:U43"/>
    <mergeCell ref="B31:D31"/>
    <mergeCell ref="B32:D32"/>
    <mergeCell ref="B34:U34"/>
    <mergeCell ref="B35:U35"/>
    <mergeCell ref="B36:U36"/>
    <mergeCell ref="B37:U37"/>
    <mergeCell ref="B38:U38"/>
    <mergeCell ref="B39:U39"/>
    <mergeCell ref="B40:U40"/>
    <mergeCell ref="B41:U41"/>
    <mergeCell ref="B42:U42"/>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55"/>
  <sheetViews>
    <sheetView view="pageBreakPreview"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401</v>
      </c>
      <c r="D4" s="57" t="s">
        <v>402</v>
      </c>
      <c r="E4" s="57"/>
      <c r="F4" s="57"/>
      <c r="G4" s="57"/>
      <c r="H4" s="57"/>
      <c r="I4" s="10"/>
      <c r="J4" s="11" t="s">
        <v>9</v>
      </c>
      <c r="K4" s="12" t="s">
        <v>10</v>
      </c>
      <c r="L4" s="58" t="s">
        <v>11</v>
      </c>
      <c r="M4" s="58"/>
      <c r="N4" s="58"/>
      <c r="O4" s="58"/>
      <c r="P4" s="11" t="s">
        <v>12</v>
      </c>
      <c r="Q4" s="58" t="s">
        <v>403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228</v>
      </c>
      <c r="D6" s="60"/>
      <c r="E6" s="60"/>
      <c r="F6" s="60"/>
      <c r="G6" s="60"/>
      <c r="H6" s="14"/>
      <c r="I6" s="14"/>
      <c r="J6" s="14" t="s">
        <v>18</v>
      </c>
      <c r="K6" s="60" t="s">
        <v>404</v>
      </c>
      <c r="L6" s="60"/>
      <c r="M6" s="60"/>
      <c r="N6" s="15"/>
      <c r="O6" s="16" t="s">
        <v>20</v>
      </c>
      <c r="P6" s="60" t="s">
        <v>405</v>
      </c>
      <c r="Q6" s="60"/>
      <c r="R6" s="17"/>
      <c r="S6" s="16" t="s">
        <v>22</v>
      </c>
      <c r="T6" s="60" t="s">
        <v>406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92.25" customHeight="1" thickTop="1" x14ac:dyDescent="0.2">
      <c r="A11" s="21"/>
      <c r="B11" s="22" t="s">
        <v>38</v>
      </c>
      <c r="C11" s="83" t="s">
        <v>407</v>
      </c>
      <c r="D11" s="83"/>
      <c r="E11" s="83"/>
      <c r="F11" s="83"/>
      <c r="G11" s="83"/>
      <c r="H11" s="83"/>
      <c r="I11" s="83" t="s">
        <v>408</v>
      </c>
      <c r="J11" s="83"/>
      <c r="K11" s="83"/>
      <c r="L11" s="83" t="s">
        <v>409</v>
      </c>
      <c r="M11" s="83"/>
      <c r="N11" s="83"/>
      <c r="O11" s="83"/>
      <c r="P11" s="23" t="s">
        <v>42</v>
      </c>
      <c r="Q11" s="23" t="s">
        <v>410</v>
      </c>
      <c r="R11" s="23">
        <v>88.6</v>
      </c>
      <c r="S11" s="23">
        <v>88.6</v>
      </c>
      <c r="T11" s="23">
        <v>90.51</v>
      </c>
      <c r="U11" s="47">
        <f>102.16</f>
        <v>102.16</v>
      </c>
    </row>
    <row r="12" spans="1:21" ht="75" customHeight="1" x14ac:dyDescent="0.2">
      <c r="A12" s="21"/>
      <c r="B12" s="24" t="s">
        <v>54</v>
      </c>
      <c r="C12" s="84" t="s">
        <v>54</v>
      </c>
      <c r="D12" s="84"/>
      <c r="E12" s="84"/>
      <c r="F12" s="84"/>
      <c r="G12" s="84"/>
      <c r="H12" s="84"/>
      <c r="I12" s="84" t="s">
        <v>411</v>
      </c>
      <c r="J12" s="84"/>
      <c r="K12" s="84"/>
      <c r="L12" s="84" t="s">
        <v>412</v>
      </c>
      <c r="M12" s="84"/>
      <c r="N12" s="84"/>
      <c r="O12" s="84"/>
      <c r="P12" s="25" t="s">
        <v>42</v>
      </c>
      <c r="Q12" s="25" t="s">
        <v>410</v>
      </c>
      <c r="R12" s="25">
        <v>61.75</v>
      </c>
      <c r="S12" s="25">
        <v>61.75</v>
      </c>
      <c r="T12" s="25">
        <v>37.54</v>
      </c>
      <c r="U12" s="26">
        <f>60.79</f>
        <v>60.79</v>
      </c>
    </row>
    <row r="13" spans="1:21" ht="75" customHeight="1" x14ac:dyDescent="0.2">
      <c r="A13" s="21"/>
      <c r="B13" s="24" t="s">
        <v>54</v>
      </c>
      <c r="C13" s="84" t="s">
        <v>54</v>
      </c>
      <c r="D13" s="84"/>
      <c r="E13" s="84"/>
      <c r="F13" s="84"/>
      <c r="G13" s="84"/>
      <c r="H13" s="84"/>
      <c r="I13" s="84" t="s">
        <v>413</v>
      </c>
      <c r="J13" s="84"/>
      <c r="K13" s="84"/>
      <c r="L13" s="84" t="s">
        <v>414</v>
      </c>
      <c r="M13" s="84"/>
      <c r="N13" s="84"/>
      <c r="O13" s="84"/>
      <c r="P13" s="25" t="s">
        <v>42</v>
      </c>
      <c r="Q13" s="25" t="s">
        <v>410</v>
      </c>
      <c r="R13" s="25">
        <v>64.819999999999993</v>
      </c>
      <c r="S13" s="25">
        <v>64.819999999999993</v>
      </c>
      <c r="T13" s="25">
        <v>65.2</v>
      </c>
      <c r="U13" s="26">
        <f>100.59</f>
        <v>100.59</v>
      </c>
    </row>
    <row r="14" spans="1:21" ht="75" customHeight="1" thickBot="1" x14ac:dyDescent="0.25">
      <c r="A14" s="21"/>
      <c r="B14" s="24" t="s">
        <v>54</v>
      </c>
      <c r="C14" s="84" t="s">
        <v>54</v>
      </c>
      <c r="D14" s="84"/>
      <c r="E14" s="84"/>
      <c r="F14" s="84"/>
      <c r="G14" s="84"/>
      <c r="H14" s="84"/>
      <c r="I14" s="84" t="s">
        <v>415</v>
      </c>
      <c r="J14" s="84"/>
      <c r="K14" s="84"/>
      <c r="L14" s="84" t="s">
        <v>416</v>
      </c>
      <c r="M14" s="84"/>
      <c r="N14" s="84"/>
      <c r="O14" s="84"/>
      <c r="P14" s="25" t="s">
        <v>42</v>
      </c>
      <c r="Q14" s="25" t="s">
        <v>410</v>
      </c>
      <c r="R14" s="25">
        <v>36.840000000000003</v>
      </c>
      <c r="S14" s="25">
        <v>36.840000000000003</v>
      </c>
      <c r="T14" s="25">
        <v>48.26</v>
      </c>
      <c r="U14" s="26">
        <f>131</f>
        <v>131</v>
      </c>
    </row>
    <row r="15" spans="1:21" ht="75" customHeight="1" thickTop="1" x14ac:dyDescent="0.2">
      <c r="A15" s="21"/>
      <c r="B15" s="22" t="s">
        <v>44</v>
      </c>
      <c r="C15" s="83" t="s">
        <v>417</v>
      </c>
      <c r="D15" s="83"/>
      <c r="E15" s="83"/>
      <c r="F15" s="83"/>
      <c r="G15" s="83"/>
      <c r="H15" s="83"/>
      <c r="I15" s="83" t="s">
        <v>418</v>
      </c>
      <c r="J15" s="83"/>
      <c r="K15" s="83"/>
      <c r="L15" s="83" t="s">
        <v>419</v>
      </c>
      <c r="M15" s="83"/>
      <c r="N15" s="83"/>
      <c r="O15" s="83"/>
      <c r="P15" s="23" t="s">
        <v>42</v>
      </c>
      <c r="Q15" s="23" t="s">
        <v>43</v>
      </c>
      <c r="R15" s="23">
        <v>6.64</v>
      </c>
      <c r="S15" s="23">
        <v>5.68</v>
      </c>
      <c r="T15" s="23">
        <v>6.78</v>
      </c>
      <c r="U15" s="47">
        <f>119.37</f>
        <v>119.37</v>
      </c>
    </row>
    <row r="16" spans="1:21" ht="75" customHeight="1" x14ac:dyDescent="0.2">
      <c r="A16" s="21"/>
      <c r="B16" s="24" t="s">
        <v>54</v>
      </c>
      <c r="C16" s="84" t="s">
        <v>54</v>
      </c>
      <c r="D16" s="84"/>
      <c r="E16" s="84"/>
      <c r="F16" s="84"/>
      <c r="G16" s="84"/>
      <c r="H16" s="84"/>
      <c r="I16" s="84" t="s">
        <v>420</v>
      </c>
      <c r="J16" s="84"/>
      <c r="K16" s="84"/>
      <c r="L16" s="84" t="s">
        <v>421</v>
      </c>
      <c r="M16" s="84"/>
      <c r="N16" s="84"/>
      <c r="O16" s="84"/>
      <c r="P16" s="25" t="s">
        <v>42</v>
      </c>
      <c r="Q16" s="25" t="s">
        <v>353</v>
      </c>
      <c r="R16" s="25">
        <v>54.09</v>
      </c>
      <c r="S16" s="25">
        <v>58.18</v>
      </c>
      <c r="T16" s="25">
        <v>70.95</v>
      </c>
      <c r="U16" s="26">
        <f>121.95</f>
        <v>121.95</v>
      </c>
    </row>
    <row r="17" spans="1:22" ht="75" customHeight="1" x14ac:dyDescent="0.2">
      <c r="A17" s="21"/>
      <c r="B17" s="24" t="s">
        <v>54</v>
      </c>
      <c r="C17" s="84" t="s">
        <v>54</v>
      </c>
      <c r="D17" s="84"/>
      <c r="E17" s="84"/>
      <c r="F17" s="84"/>
      <c r="G17" s="84"/>
      <c r="H17" s="84"/>
      <c r="I17" s="84" t="s">
        <v>422</v>
      </c>
      <c r="J17" s="84"/>
      <c r="K17" s="84"/>
      <c r="L17" s="84" t="s">
        <v>423</v>
      </c>
      <c r="M17" s="84"/>
      <c r="N17" s="84"/>
      <c r="O17" s="84"/>
      <c r="P17" s="25" t="s">
        <v>42</v>
      </c>
      <c r="Q17" s="25" t="s">
        <v>43</v>
      </c>
      <c r="R17" s="25">
        <v>8.42</v>
      </c>
      <c r="S17" s="25">
        <v>8.5500000000000007</v>
      </c>
      <c r="T17" s="25">
        <v>8.68</v>
      </c>
      <c r="U17" s="26">
        <f>101.52</f>
        <v>101.52</v>
      </c>
    </row>
    <row r="18" spans="1:22" ht="75" customHeight="1" thickBot="1" x14ac:dyDescent="0.25">
      <c r="A18" s="21"/>
      <c r="B18" s="24" t="s">
        <v>54</v>
      </c>
      <c r="C18" s="84" t="s">
        <v>54</v>
      </c>
      <c r="D18" s="84"/>
      <c r="E18" s="84"/>
      <c r="F18" s="84"/>
      <c r="G18" s="84"/>
      <c r="H18" s="84"/>
      <c r="I18" s="84" t="s">
        <v>424</v>
      </c>
      <c r="J18" s="84"/>
      <c r="K18" s="84"/>
      <c r="L18" s="84" t="s">
        <v>425</v>
      </c>
      <c r="M18" s="84"/>
      <c r="N18" s="84"/>
      <c r="O18" s="84"/>
      <c r="P18" s="25" t="s">
        <v>42</v>
      </c>
      <c r="Q18" s="25" t="s">
        <v>43</v>
      </c>
      <c r="R18" s="25">
        <v>13.5</v>
      </c>
      <c r="S18" s="25">
        <v>13.74</v>
      </c>
      <c r="T18" s="25">
        <v>15.45</v>
      </c>
      <c r="U18" s="26">
        <f>112.45</f>
        <v>112.45</v>
      </c>
    </row>
    <row r="19" spans="1:22" ht="75" customHeight="1" thickTop="1" x14ac:dyDescent="0.2">
      <c r="A19" s="21"/>
      <c r="B19" s="22" t="s">
        <v>49</v>
      </c>
      <c r="C19" s="83" t="s">
        <v>426</v>
      </c>
      <c r="D19" s="83"/>
      <c r="E19" s="83"/>
      <c r="F19" s="83"/>
      <c r="G19" s="83"/>
      <c r="H19" s="83"/>
      <c r="I19" s="83" t="s">
        <v>427</v>
      </c>
      <c r="J19" s="83"/>
      <c r="K19" s="83"/>
      <c r="L19" s="83" t="s">
        <v>428</v>
      </c>
      <c r="M19" s="83"/>
      <c r="N19" s="83"/>
      <c r="O19" s="83"/>
      <c r="P19" s="23" t="s">
        <v>42</v>
      </c>
      <c r="Q19" s="23" t="s">
        <v>74</v>
      </c>
      <c r="R19" s="23">
        <v>2.73</v>
      </c>
      <c r="S19" s="23">
        <v>1.87</v>
      </c>
      <c r="T19" s="23">
        <v>3.03</v>
      </c>
      <c r="U19" s="47">
        <f>162.03</f>
        <v>162.03</v>
      </c>
    </row>
    <row r="20" spans="1:22" ht="75" customHeight="1" x14ac:dyDescent="0.2">
      <c r="A20" s="21"/>
      <c r="B20" s="24" t="s">
        <v>54</v>
      </c>
      <c r="C20" s="84" t="s">
        <v>54</v>
      </c>
      <c r="D20" s="84"/>
      <c r="E20" s="84"/>
      <c r="F20" s="84"/>
      <c r="G20" s="84"/>
      <c r="H20" s="84"/>
      <c r="I20" s="84" t="s">
        <v>429</v>
      </c>
      <c r="J20" s="84"/>
      <c r="K20" s="84"/>
      <c r="L20" s="84" t="s">
        <v>430</v>
      </c>
      <c r="M20" s="84"/>
      <c r="N20" s="84"/>
      <c r="O20" s="84"/>
      <c r="P20" s="25" t="s">
        <v>42</v>
      </c>
      <c r="Q20" s="25" t="s">
        <v>74</v>
      </c>
      <c r="R20" s="25">
        <v>1.33</v>
      </c>
      <c r="S20" s="25">
        <v>1.33</v>
      </c>
      <c r="T20" s="25">
        <v>1.28</v>
      </c>
      <c r="U20" s="26">
        <f>96.24</f>
        <v>96.24</v>
      </c>
    </row>
    <row r="21" spans="1:22" ht="75" customHeight="1" x14ac:dyDescent="0.2">
      <c r="A21" s="21"/>
      <c r="B21" s="24" t="s">
        <v>54</v>
      </c>
      <c r="C21" s="84" t="s">
        <v>54</v>
      </c>
      <c r="D21" s="84"/>
      <c r="E21" s="84"/>
      <c r="F21" s="84"/>
      <c r="G21" s="84"/>
      <c r="H21" s="84"/>
      <c r="I21" s="84" t="s">
        <v>431</v>
      </c>
      <c r="J21" s="84"/>
      <c r="K21" s="84"/>
      <c r="L21" s="84" t="s">
        <v>432</v>
      </c>
      <c r="M21" s="84"/>
      <c r="N21" s="84"/>
      <c r="O21" s="84"/>
      <c r="P21" s="25" t="s">
        <v>42</v>
      </c>
      <c r="Q21" s="25" t="s">
        <v>74</v>
      </c>
      <c r="R21" s="25">
        <v>3.07</v>
      </c>
      <c r="S21" s="25">
        <v>3.87</v>
      </c>
      <c r="T21" s="25">
        <v>4.16</v>
      </c>
      <c r="U21" s="26">
        <f>107.49</f>
        <v>107.49</v>
      </c>
    </row>
    <row r="22" spans="1:22" ht="75" customHeight="1" thickBot="1" x14ac:dyDescent="0.25">
      <c r="A22" s="21"/>
      <c r="B22" s="24" t="s">
        <v>54</v>
      </c>
      <c r="C22" s="84" t="s">
        <v>54</v>
      </c>
      <c r="D22" s="84"/>
      <c r="E22" s="84"/>
      <c r="F22" s="84"/>
      <c r="G22" s="84"/>
      <c r="H22" s="84"/>
      <c r="I22" s="84" t="s">
        <v>433</v>
      </c>
      <c r="J22" s="84"/>
      <c r="K22" s="84"/>
      <c r="L22" s="84" t="s">
        <v>434</v>
      </c>
      <c r="M22" s="84"/>
      <c r="N22" s="84"/>
      <c r="O22" s="84"/>
      <c r="P22" s="25" t="s">
        <v>42</v>
      </c>
      <c r="Q22" s="25" t="s">
        <v>74</v>
      </c>
      <c r="R22" s="25">
        <v>2.2000000000000002</v>
      </c>
      <c r="S22" s="25">
        <v>2.5299999999999998</v>
      </c>
      <c r="T22" s="25">
        <v>3.12</v>
      </c>
      <c r="U22" s="26">
        <f>123.32</f>
        <v>123.32</v>
      </c>
    </row>
    <row r="23" spans="1:22" ht="75" customHeight="1" thickTop="1" x14ac:dyDescent="0.2">
      <c r="A23" s="21"/>
      <c r="B23" s="22" t="s">
        <v>63</v>
      </c>
      <c r="C23" s="83" t="s">
        <v>435</v>
      </c>
      <c r="D23" s="83"/>
      <c r="E23" s="83"/>
      <c r="F23" s="83"/>
      <c r="G23" s="83"/>
      <c r="H23" s="83"/>
      <c r="I23" s="83" t="s">
        <v>436</v>
      </c>
      <c r="J23" s="83"/>
      <c r="K23" s="83"/>
      <c r="L23" s="83" t="s">
        <v>437</v>
      </c>
      <c r="M23" s="83"/>
      <c r="N23" s="83"/>
      <c r="O23" s="83"/>
      <c r="P23" s="23" t="s">
        <v>42</v>
      </c>
      <c r="Q23" s="23" t="s">
        <v>438</v>
      </c>
      <c r="R23" s="23">
        <v>100</v>
      </c>
      <c r="S23" s="23">
        <v>100</v>
      </c>
      <c r="T23" s="23">
        <v>100</v>
      </c>
      <c r="U23" s="47">
        <f>100</f>
        <v>100</v>
      </c>
    </row>
    <row r="24" spans="1:22" ht="75" customHeight="1" x14ac:dyDescent="0.2">
      <c r="A24" s="21"/>
      <c r="B24" s="24" t="s">
        <v>54</v>
      </c>
      <c r="C24" s="84" t="s">
        <v>54</v>
      </c>
      <c r="D24" s="84"/>
      <c r="E24" s="84"/>
      <c r="F24" s="84"/>
      <c r="G24" s="84"/>
      <c r="H24" s="84"/>
      <c r="I24" s="84" t="s">
        <v>439</v>
      </c>
      <c r="J24" s="84"/>
      <c r="K24" s="84"/>
      <c r="L24" s="84" t="s">
        <v>440</v>
      </c>
      <c r="M24" s="84"/>
      <c r="N24" s="84"/>
      <c r="O24" s="84"/>
      <c r="P24" s="25" t="s">
        <v>42</v>
      </c>
      <c r="Q24" s="25" t="s">
        <v>74</v>
      </c>
      <c r="R24" s="25">
        <v>100</v>
      </c>
      <c r="S24" s="25">
        <v>100</v>
      </c>
      <c r="T24" s="25">
        <v>111.82</v>
      </c>
      <c r="U24" s="26">
        <f>111.82</f>
        <v>111.82</v>
      </c>
    </row>
    <row r="25" spans="1:22" ht="75" customHeight="1" x14ac:dyDescent="0.2">
      <c r="A25" s="21"/>
      <c r="B25" s="24" t="s">
        <v>54</v>
      </c>
      <c r="C25" s="84" t="s">
        <v>54</v>
      </c>
      <c r="D25" s="84"/>
      <c r="E25" s="84"/>
      <c r="F25" s="84"/>
      <c r="G25" s="84"/>
      <c r="H25" s="84"/>
      <c r="I25" s="84" t="s">
        <v>441</v>
      </c>
      <c r="J25" s="84"/>
      <c r="K25" s="84"/>
      <c r="L25" s="84" t="s">
        <v>442</v>
      </c>
      <c r="M25" s="84"/>
      <c r="N25" s="84"/>
      <c r="O25" s="84"/>
      <c r="P25" s="25" t="s">
        <v>42</v>
      </c>
      <c r="Q25" s="25" t="s">
        <v>327</v>
      </c>
      <c r="R25" s="25">
        <v>100</v>
      </c>
      <c r="S25" s="25">
        <v>100</v>
      </c>
      <c r="T25" s="25">
        <v>100</v>
      </c>
      <c r="U25" s="26">
        <f>100</f>
        <v>100</v>
      </c>
    </row>
    <row r="26" spans="1:22" ht="75" customHeight="1" x14ac:dyDescent="0.2">
      <c r="A26" s="21"/>
      <c r="B26" s="24" t="s">
        <v>54</v>
      </c>
      <c r="C26" s="84" t="s">
        <v>443</v>
      </c>
      <c r="D26" s="84"/>
      <c r="E26" s="84"/>
      <c r="F26" s="84"/>
      <c r="G26" s="84"/>
      <c r="H26" s="84"/>
      <c r="I26" s="84" t="s">
        <v>444</v>
      </c>
      <c r="J26" s="84"/>
      <c r="K26" s="84"/>
      <c r="L26" s="84" t="s">
        <v>445</v>
      </c>
      <c r="M26" s="84"/>
      <c r="N26" s="84"/>
      <c r="O26" s="84"/>
      <c r="P26" s="25" t="s">
        <v>446</v>
      </c>
      <c r="Q26" s="25" t="s">
        <v>165</v>
      </c>
      <c r="R26" s="25">
        <v>0.3</v>
      </c>
      <c r="S26" s="25">
        <v>0.3</v>
      </c>
      <c r="T26" s="25">
        <v>0.22</v>
      </c>
      <c r="U26" s="26">
        <f>110</f>
        <v>110</v>
      </c>
    </row>
    <row r="27" spans="1:22" ht="75" customHeight="1" x14ac:dyDescent="0.2">
      <c r="A27" s="21"/>
      <c r="B27" s="24" t="s">
        <v>54</v>
      </c>
      <c r="C27" s="84" t="s">
        <v>447</v>
      </c>
      <c r="D27" s="84"/>
      <c r="E27" s="84"/>
      <c r="F27" s="84"/>
      <c r="G27" s="84"/>
      <c r="H27" s="84"/>
      <c r="I27" s="84" t="s">
        <v>448</v>
      </c>
      <c r="J27" s="84"/>
      <c r="K27" s="84"/>
      <c r="L27" s="84" t="s">
        <v>449</v>
      </c>
      <c r="M27" s="84"/>
      <c r="N27" s="84"/>
      <c r="O27" s="84"/>
      <c r="P27" s="25" t="s">
        <v>42</v>
      </c>
      <c r="Q27" s="25" t="s">
        <v>67</v>
      </c>
      <c r="R27" s="25">
        <v>100</v>
      </c>
      <c r="S27" s="25">
        <v>100</v>
      </c>
      <c r="T27" s="25">
        <v>100</v>
      </c>
      <c r="U27" s="26">
        <f>100</f>
        <v>100</v>
      </c>
    </row>
    <row r="28" spans="1:22" ht="75" customHeight="1" x14ac:dyDescent="0.2">
      <c r="A28" s="21"/>
      <c r="B28" s="24" t="s">
        <v>54</v>
      </c>
      <c r="C28" s="84" t="s">
        <v>54</v>
      </c>
      <c r="D28" s="84"/>
      <c r="E28" s="84"/>
      <c r="F28" s="84"/>
      <c r="G28" s="84"/>
      <c r="H28" s="84"/>
      <c r="I28" s="84" t="s">
        <v>450</v>
      </c>
      <c r="J28" s="84"/>
      <c r="K28" s="84"/>
      <c r="L28" s="84" t="s">
        <v>451</v>
      </c>
      <c r="M28" s="84"/>
      <c r="N28" s="84"/>
      <c r="O28" s="84"/>
      <c r="P28" s="25" t="s">
        <v>42</v>
      </c>
      <c r="Q28" s="25" t="s">
        <v>438</v>
      </c>
      <c r="R28" s="25">
        <v>100</v>
      </c>
      <c r="S28" s="25">
        <v>100</v>
      </c>
      <c r="T28" s="25">
        <v>100</v>
      </c>
      <c r="U28" s="26">
        <f>100</f>
        <v>100</v>
      </c>
    </row>
    <row r="29" spans="1:22" ht="75" customHeight="1" thickBot="1" x14ac:dyDescent="0.25">
      <c r="A29" s="21"/>
      <c r="B29" s="24" t="s">
        <v>54</v>
      </c>
      <c r="C29" s="84" t="s">
        <v>54</v>
      </c>
      <c r="D29" s="84"/>
      <c r="E29" s="84"/>
      <c r="F29" s="84"/>
      <c r="G29" s="84"/>
      <c r="H29" s="84"/>
      <c r="I29" s="84" t="s">
        <v>452</v>
      </c>
      <c r="J29" s="84"/>
      <c r="K29" s="84"/>
      <c r="L29" s="84" t="s">
        <v>453</v>
      </c>
      <c r="M29" s="84"/>
      <c r="N29" s="84"/>
      <c r="O29" s="84"/>
      <c r="P29" s="25" t="s">
        <v>42</v>
      </c>
      <c r="Q29" s="25" t="s">
        <v>74</v>
      </c>
      <c r="R29" s="25">
        <v>100</v>
      </c>
      <c r="S29" s="25">
        <v>100</v>
      </c>
      <c r="T29" s="25">
        <v>120.08</v>
      </c>
      <c r="U29" s="26">
        <f>120.08</f>
        <v>120.08</v>
      </c>
    </row>
    <row r="30" spans="1:22" ht="14.25" customHeight="1" thickTop="1" thickBot="1" x14ac:dyDescent="0.25">
      <c r="B30" s="4" t="s">
        <v>92</v>
      </c>
      <c r="C30" s="5"/>
      <c r="D30" s="5"/>
      <c r="E30" s="5"/>
      <c r="F30" s="5"/>
      <c r="G30" s="5"/>
      <c r="H30" s="6"/>
      <c r="I30" s="6"/>
      <c r="J30" s="6"/>
      <c r="K30" s="6"/>
      <c r="L30" s="6"/>
      <c r="M30" s="6"/>
      <c r="N30" s="6"/>
      <c r="O30" s="6"/>
      <c r="P30" s="6"/>
      <c r="Q30" s="6"/>
      <c r="R30" s="6"/>
      <c r="S30" s="6"/>
      <c r="T30" s="6"/>
      <c r="U30" s="7"/>
      <c r="V30" s="27"/>
    </row>
    <row r="31" spans="1:22" ht="26.25" customHeight="1" thickTop="1" x14ac:dyDescent="0.2">
      <c r="B31" s="28"/>
      <c r="C31" s="29"/>
      <c r="D31" s="29"/>
      <c r="E31" s="29"/>
      <c r="F31" s="29"/>
      <c r="G31" s="29"/>
      <c r="H31" s="30"/>
      <c r="I31" s="30"/>
      <c r="J31" s="30"/>
      <c r="K31" s="30"/>
      <c r="L31" s="30"/>
      <c r="M31" s="30"/>
      <c r="N31" s="30"/>
      <c r="O31" s="30"/>
      <c r="P31" s="30"/>
      <c r="Q31" s="30"/>
      <c r="R31" s="31"/>
      <c r="S31" s="32" t="s">
        <v>33</v>
      </c>
      <c r="T31" s="32" t="s">
        <v>93</v>
      </c>
      <c r="U31" s="18" t="s">
        <v>94</v>
      </c>
    </row>
    <row r="32" spans="1:22" ht="26.25" customHeight="1" thickBot="1" x14ac:dyDescent="0.25">
      <c r="B32" s="33"/>
      <c r="C32" s="34"/>
      <c r="D32" s="34"/>
      <c r="E32" s="34"/>
      <c r="F32" s="34"/>
      <c r="G32" s="34"/>
      <c r="H32" s="35"/>
      <c r="I32" s="35"/>
      <c r="J32" s="35"/>
      <c r="K32" s="35"/>
      <c r="L32" s="35"/>
      <c r="M32" s="35"/>
      <c r="N32" s="35"/>
      <c r="O32" s="35"/>
      <c r="P32" s="35"/>
      <c r="Q32" s="35"/>
      <c r="R32" s="35"/>
      <c r="S32" s="36" t="s">
        <v>95</v>
      </c>
      <c r="T32" s="37" t="s">
        <v>95</v>
      </c>
      <c r="U32" s="37" t="s">
        <v>96</v>
      </c>
    </row>
    <row r="33" spans="2:21" ht="13.5" customHeight="1" thickBot="1" x14ac:dyDescent="0.25">
      <c r="B33" s="88" t="s">
        <v>97</v>
      </c>
      <c r="C33" s="89"/>
      <c r="D33" s="89"/>
      <c r="E33" s="38"/>
      <c r="F33" s="38"/>
      <c r="G33" s="38"/>
      <c r="H33" s="39"/>
      <c r="I33" s="39"/>
      <c r="J33" s="39"/>
      <c r="K33" s="39"/>
      <c r="L33" s="39"/>
      <c r="M33" s="39"/>
      <c r="N33" s="39"/>
      <c r="O33" s="39"/>
      <c r="P33" s="40"/>
      <c r="Q33" s="40"/>
      <c r="R33" s="40"/>
      <c r="S33" s="48">
        <v>6225.6850000000004</v>
      </c>
      <c r="T33" s="48">
        <v>5969.0113562099978</v>
      </c>
      <c r="U33" s="49">
        <f>+IF(ISERR(T33/S33*100),"N/A",ROUND(T33/S33*100,1))</f>
        <v>95.9</v>
      </c>
    </row>
    <row r="34" spans="2:21" ht="13.5" customHeight="1" thickBot="1" x14ac:dyDescent="0.25">
      <c r="B34" s="90" t="s">
        <v>98</v>
      </c>
      <c r="C34" s="91"/>
      <c r="D34" s="91"/>
      <c r="E34" s="41"/>
      <c r="F34" s="41"/>
      <c r="G34" s="41"/>
      <c r="H34" s="42"/>
      <c r="I34" s="42"/>
      <c r="J34" s="42"/>
      <c r="K34" s="42"/>
      <c r="L34" s="42"/>
      <c r="M34" s="42"/>
      <c r="N34" s="42"/>
      <c r="O34" s="42"/>
      <c r="P34" s="43"/>
      <c r="Q34" s="43"/>
      <c r="R34" s="43"/>
      <c r="S34" s="48">
        <v>5969.0113562100014</v>
      </c>
      <c r="T34" s="48">
        <v>5969.0113562099978</v>
      </c>
      <c r="U34" s="49">
        <f>+IF(ISERR(T34/S34*100),"N/A",ROUND(T34/S34*100,1))</f>
        <v>100</v>
      </c>
    </row>
    <row r="35" spans="2:21" ht="14.85" customHeight="1" thickTop="1" thickBot="1" x14ac:dyDescent="0.25">
      <c r="B35" s="4" t="s">
        <v>99</v>
      </c>
      <c r="C35" s="5"/>
      <c r="D35" s="5"/>
      <c r="E35" s="5"/>
      <c r="F35" s="5"/>
      <c r="G35" s="5"/>
      <c r="H35" s="6"/>
      <c r="I35" s="6"/>
      <c r="J35" s="6"/>
      <c r="K35" s="6"/>
      <c r="L35" s="6"/>
      <c r="M35" s="6"/>
      <c r="N35" s="6"/>
      <c r="O35" s="6"/>
      <c r="P35" s="6"/>
      <c r="Q35" s="6"/>
      <c r="R35" s="6"/>
      <c r="S35" s="6"/>
      <c r="T35" s="6"/>
      <c r="U35" s="7"/>
    </row>
    <row r="36" spans="2:21" ht="44.25" customHeight="1" thickTop="1" x14ac:dyDescent="0.2">
      <c r="B36" s="92" t="s">
        <v>100</v>
      </c>
      <c r="C36" s="93"/>
      <c r="D36" s="93"/>
      <c r="E36" s="93"/>
      <c r="F36" s="93"/>
      <c r="G36" s="93"/>
      <c r="H36" s="93"/>
      <c r="I36" s="93"/>
      <c r="J36" s="93"/>
      <c r="K36" s="93"/>
      <c r="L36" s="93"/>
      <c r="M36" s="93"/>
      <c r="N36" s="93"/>
      <c r="O36" s="93"/>
      <c r="P36" s="93"/>
      <c r="Q36" s="93"/>
      <c r="R36" s="93"/>
      <c r="S36" s="93"/>
      <c r="T36" s="93"/>
      <c r="U36" s="94"/>
    </row>
    <row r="37" spans="2:21" ht="65.25" customHeight="1" x14ac:dyDescent="0.2">
      <c r="B37" s="85" t="s">
        <v>454</v>
      </c>
      <c r="C37" s="86"/>
      <c r="D37" s="86"/>
      <c r="E37" s="86"/>
      <c r="F37" s="86"/>
      <c r="G37" s="86"/>
      <c r="H37" s="86"/>
      <c r="I37" s="86"/>
      <c r="J37" s="86"/>
      <c r="K37" s="86"/>
      <c r="L37" s="86"/>
      <c r="M37" s="86"/>
      <c r="N37" s="86"/>
      <c r="O37" s="86"/>
      <c r="P37" s="86"/>
      <c r="Q37" s="86"/>
      <c r="R37" s="86"/>
      <c r="S37" s="86"/>
      <c r="T37" s="86"/>
      <c r="U37" s="87"/>
    </row>
    <row r="38" spans="2:21" ht="131.25" customHeight="1" x14ac:dyDescent="0.2">
      <c r="B38" s="85" t="s">
        <v>455</v>
      </c>
      <c r="C38" s="86"/>
      <c r="D38" s="86"/>
      <c r="E38" s="86"/>
      <c r="F38" s="86"/>
      <c r="G38" s="86"/>
      <c r="H38" s="86"/>
      <c r="I38" s="86"/>
      <c r="J38" s="86"/>
      <c r="K38" s="86"/>
      <c r="L38" s="86"/>
      <c r="M38" s="86"/>
      <c r="N38" s="86"/>
      <c r="O38" s="86"/>
      <c r="P38" s="86"/>
      <c r="Q38" s="86"/>
      <c r="R38" s="86"/>
      <c r="S38" s="86"/>
      <c r="T38" s="86"/>
      <c r="U38" s="87"/>
    </row>
    <row r="39" spans="2:21" ht="68.25" customHeight="1" x14ac:dyDescent="0.2">
      <c r="B39" s="85" t="s">
        <v>456</v>
      </c>
      <c r="C39" s="86"/>
      <c r="D39" s="86"/>
      <c r="E39" s="86"/>
      <c r="F39" s="86"/>
      <c r="G39" s="86"/>
      <c r="H39" s="86"/>
      <c r="I39" s="86"/>
      <c r="J39" s="86"/>
      <c r="K39" s="86"/>
      <c r="L39" s="86"/>
      <c r="M39" s="86"/>
      <c r="N39" s="86"/>
      <c r="O39" s="86"/>
      <c r="P39" s="86"/>
      <c r="Q39" s="86"/>
      <c r="R39" s="86"/>
      <c r="S39" s="86"/>
      <c r="T39" s="86"/>
      <c r="U39" s="87"/>
    </row>
    <row r="40" spans="2:21" ht="66.75" customHeight="1" x14ac:dyDescent="0.2">
      <c r="B40" s="85" t="s">
        <v>457</v>
      </c>
      <c r="C40" s="86"/>
      <c r="D40" s="86"/>
      <c r="E40" s="86"/>
      <c r="F40" s="86"/>
      <c r="G40" s="86"/>
      <c r="H40" s="86"/>
      <c r="I40" s="86"/>
      <c r="J40" s="86"/>
      <c r="K40" s="86"/>
      <c r="L40" s="86"/>
      <c r="M40" s="86"/>
      <c r="N40" s="86"/>
      <c r="O40" s="86"/>
      <c r="P40" s="86"/>
      <c r="Q40" s="86"/>
      <c r="R40" s="86"/>
      <c r="S40" s="86"/>
      <c r="T40" s="86"/>
      <c r="U40" s="87"/>
    </row>
    <row r="41" spans="2:21" ht="179.85" customHeight="1" x14ac:dyDescent="0.2">
      <c r="B41" s="85" t="s">
        <v>458</v>
      </c>
      <c r="C41" s="86"/>
      <c r="D41" s="86"/>
      <c r="E41" s="86"/>
      <c r="F41" s="86"/>
      <c r="G41" s="86"/>
      <c r="H41" s="86"/>
      <c r="I41" s="86"/>
      <c r="J41" s="86"/>
      <c r="K41" s="86"/>
      <c r="L41" s="86"/>
      <c r="M41" s="86"/>
      <c r="N41" s="86"/>
      <c r="O41" s="86"/>
      <c r="P41" s="86"/>
      <c r="Q41" s="86"/>
      <c r="R41" s="86"/>
      <c r="S41" s="86"/>
      <c r="T41" s="86"/>
      <c r="U41" s="87"/>
    </row>
    <row r="42" spans="2:21" ht="85.5" customHeight="1" x14ac:dyDescent="0.2">
      <c r="B42" s="85" t="s">
        <v>459</v>
      </c>
      <c r="C42" s="86"/>
      <c r="D42" s="86"/>
      <c r="E42" s="86"/>
      <c r="F42" s="86"/>
      <c r="G42" s="86"/>
      <c r="H42" s="86"/>
      <c r="I42" s="86"/>
      <c r="J42" s="86"/>
      <c r="K42" s="86"/>
      <c r="L42" s="86"/>
      <c r="M42" s="86"/>
      <c r="N42" s="86"/>
      <c r="O42" s="86"/>
      <c r="P42" s="86"/>
      <c r="Q42" s="86"/>
      <c r="R42" s="86"/>
      <c r="S42" s="86"/>
      <c r="T42" s="86"/>
      <c r="U42" s="87"/>
    </row>
    <row r="43" spans="2:21" ht="120.95" customHeight="1" x14ac:dyDescent="0.2">
      <c r="B43" s="85" t="s">
        <v>460</v>
      </c>
      <c r="C43" s="86"/>
      <c r="D43" s="86"/>
      <c r="E43" s="86"/>
      <c r="F43" s="86"/>
      <c r="G43" s="86"/>
      <c r="H43" s="86"/>
      <c r="I43" s="86"/>
      <c r="J43" s="86"/>
      <c r="K43" s="86"/>
      <c r="L43" s="86"/>
      <c r="M43" s="86"/>
      <c r="N43" s="86"/>
      <c r="O43" s="86"/>
      <c r="P43" s="86"/>
      <c r="Q43" s="86"/>
      <c r="R43" s="86"/>
      <c r="S43" s="86"/>
      <c r="T43" s="86"/>
      <c r="U43" s="87"/>
    </row>
    <row r="44" spans="2:21" ht="109.35" customHeight="1" x14ac:dyDescent="0.2">
      <c r="B44" s="85" t="s">
        <v>461</v>
      </c>
      <c r="C44" s="86"/>
      <c r="D44" s="86"/>
      <c r="E44" s="86"/>
      <c r="F44" s="86"/>
      <c r="G44" s="86"/>
      <c r="H44" s="86"/>
      <c r="I44" s="86"/>
      <c r="J44" s="86"/>
      <c r="K44" s="86"/>
      <c r="L44" s="86"/>
      <c r="M44" s="86"/>
      <c r="N44" s="86"/>
      <c r="O44" s="86"/>
      <c r="P44" s="86"/>
      <c r="Q44" s="86"/>
      <c r="R44" s="86"/>
      <c r="S44" s="86"/>
      <c r="T44" s="86"/>
      <c r="U44" s="87"/>
    </row>
    <row r="45" spans="2:21" ht="180.95" customHeight="1" x14ac:dyDescent="0.2">
      <c r="B45" s="85" t="s">
        <v>462</v>
      </c>
      <c r="C45" s="86"/>
      <c r="D45" s="86"/>
      <c r="E45" s="86"/>
      <c r="F45" s="86"/>
      <c r="G45" s="86"/>
      <c r="H45" s="86"/>
      <c r="I45" s="86"/>
      <c r="J45" s="86"/>
      <c r="K45" s="86"/>
      <c r="L45" s="86"/>
      <c r="M45" s="86"/>
      <c r="N45" s="86"/>
      <c r="O45" s="86"/>
      <c r="P45" s="86"/>
      <c r="Q45" s="86"/>
      <c r="R45" s="86"/>
      <c r="S45" s="86"/>
      <c r="T45" s="86"/>
      <c r="U45" s="87"/>
    </row>
    <row r="46" spans="2:21" ht="114.6" customHeight="1" x14ac:dyDescent="0.2">
      <c r="B46" s="85" t="s">
        <v>463</v>
      </c>
      <c r="C46" s="86"/>
      <c r="D46" s="86"/>
      <c r="E46" s="86"/>
      <c r="F46" s="86"/>
      <c r="G46" s="86"/>
      <c r="H46" s="86"/>
      <c r="I46" s="86"/>
      <c r="J46" s="86"/>
      <c r="K46" s="86"/>
      <c r="L46" s="86"/>
      <c r="M46" s="86"/>
      <c r="N46" s="86"/>
      <c r="O46" s="86"/>
      <c r="P46" s="86"/>
      <c r="Q46" s="86"/>
      <c r="R46" s="86"/>
      <c r="S46" s="86"/>
      <c r="T46" s="86"/>
      <c r="U46" s="87"/>
    </row>
    <row r="47" spans="2:21" ht="86.45" customHeight="1" x14ac:dyDescent="0.2">
      <c r="B47" s="85" t="s">
        <v>464</v>
      </c>
      <c r="C47" s="86"/>
      <c r="D47" s="86"/>
      <c r="E47" s="86"/>
      <c r="F47" s="86"/>
      <c r="G47" s="86"/>
      <c r="H47" s="86"/>
      <c r="I47" s="86"/>
      <c r="J47" s="86"/>
      <c r="K47" s="86"/>
      <c r="L47" s="86"/>
      <c r="M47" s="86"/>
      <c r="N47" s="86"/>
      <c r="O47" s="86"/>
      <c r="P47" s="86"/>
      <c r="Q47" s="86"/>
      <c r="R47" s="86"/>
      <c r="S47" s="86"/>
      <c r="T47" s="86"/>
      <c r="U47" s="87"/>
    </row>
    <row r="48" spans="2:21" ht="89.1" customHeight="1" x14ac:dyDescent="0.2">
      <c r="B48" s="85" t="s">
        <v>465</v>
      </c>
      <c r="C48" s="86"/>
      <c r="D48" s="86"/>
      <c r="E48" s="86"/>
      <c r="F48" s="86"/>
      <c r="G48" s="86"/>
      <c r="H48" s="86"/>
      <c r="I48" s="86"/>
      <c r="J48" s="86"/>
      <c r="K48" s="86"/>
      <c r="L48" s="86"/>
      <c r="M48" s="86"/>
      <c r="N48" s="86"/>
      <c r="O48" s="86"/>
      <c r="P48" s="86"/>
      <c r="Q48" s="86"/>
      <c r="R48" s="86"/>
      <c r="S48" s="86"/>
      <c r="T48" s="86"/>
      <c r="U48" s="87"/>
    </row>
    <row r="49" spans="2:21" ht="45.75" customHeight="1" x14ac:dyDescent="0.2">
      <c r="B49" s="85" t="s">
        <v>466</v>
      </c>
      <c r="C49" s="86"/>
      <c r="D49" s="86"/>
      <c r="E49" s="86"/>
      <c r="F49" s="86"/>
      <c r="G49" s="86"/>
      <c r="H49" s="86"/>
      <c r="I49" s="86"/>
      <c r="J49" s="86"/>
      <c r="K49" s="86"/>
      <c r="L49" s="86"/>
      <c r="M49" s="86"/>
      <c r="N49" s="86"/>
      <c r="O49" s="86"/>
      <c r="P49" s="86"/>
      <c r="Q49" s="86"/>
      <c r="R49" s="86"/>
      <c r="S49" s="86"/>
      <c r="T49" s="86"/>
      <c r="U49" s="87"/>
    </row>
    <row r="50" spans="2:21" ht="60" customHeight="1" x14ac:dyDescent="0.2">
      <c r="B50" s="85" t="s">
        <v>467</v>
      </c>
      <c r="C50" s="86"/>
      <c r="D50" s="86"/>
      <c r="E50" s="86"/>
      <c r="F50" s="86"/>
      <c r="G50" s="86"/>
      <c r="H50" s="86"/>
      <c r="I50" s="86"/>
      <c r="J50" s="86"/>
      <c r="K50" s="86"/>
      <c r="L50" s="86"/>
      <c r="M50" s="86"/>
      <c r="N50" s="86"/>
      <c r="O50" s="86"/>
      <c r="P50" s="86"/>
      <c r="Q50" s="86"/>
      <c r="R50" s="86"/>
      <c r="S50" s="86"/>
      <c r="T50" s="86"/>
      <c r="U50" s="87"/>
    </row>
    <row r="51" spans="2:21" ht="62.85" customHeight="1" x14ac:dyDescent="0.2">
      <c r="B51" s="85" t="s">
        <v>468</v>
      </c>
      <c r="C51" s="86"/>
      <c r="D51" s="86"/>
      <c r="E51" s="86"/>
      <c r="F51" s="86"/>
      <c r="G51" s="86"/>
      <c r="H51" s="86"/>
      <c r="I51" s="86"/>
      <c r="J51" s="86"/>
      <c r="K51" s="86"/>
      <c r="L51" s="86"/>
      <c r="M51" s="86"/>
      <c r="N51" s="86"/>
      <c r="O51" s="86"/>
      <c r="P51" s="86"/>
      <c r="Q51" s="86"/>
      <c r="R51" s="86"/>
      <c r="S51" s="86"/>
      <c r="T51" s="86"/>
      <c r="U51" s="87"/>
    </row>
    <row r="52" spans="2:21" ht="120.75" customHeight="1" x14ac:dyDescent="0.2">
      <c r="B52" s="85" t="s">
        <v>469</v>
      </c>
      <c r="C52" s="86"/>
      <c r="D52" s="86"/>
      <c r="E52" s="86"/>
      <c r="F52" s="86"/>
      <c r="G52" s="86"/>
      <c r="H52" s="86"/>
      <c r="I52" s="86"/>
      <c r="J52" s="86"/>
      <c r="K52" s="86"/>
      <c r="L52" s="86"/>
      <c r="M52" s="86"/>
      <c r="N52" s="86"/>
      <c r="O52" s="86"/>
      <c r="P52" s="86"/>
      <c r="Q52" s="86"/>
      <c r="R52" s="86"/>
      <c r="S52" s="86"/>
      <c r="T52" s="86"/>
      <c r="U52" s="87"/>
    </row>
    <row r="53" spans="2:21" ht="70.5" customHeight="1" x14ac:dyDescent="0.2">
      <c r="B53" s="85" t="s">
        <v>470</v>
      </c>
      <c r="C53" s="86"/>
      <c r="D53" s="86"/>
      <c r="E53" s="86"/>
      <c r="F53" s="86"/>
      <c r="G53" s="86"/>
      <c r="H53" s="86"/>
      <c r="I53" s="86"/>
      <c r="J53" s="86"/>
      <c r="K53" s="86"/>
      <c r="L53" s="86"/>
      <c r="M53" s="86"/>
      <c r="N53" s="86"/>
      <c r="O53" s="86"/>
      <c r="P53" s="86"/>
      <c r="Q53" s="86"/>
      <c r="R53" s="86"/>
      <c r="S53" s="86"/>
      <c r="T53" s="86"/>
      <c r="U53" s="87"/>
    </row>
    <row r="54" spans="2:21" ht="47.25" customHeight="1" x14ac:dyDescent="0.2">
      <c r="B54" s="85" t="s">
        <v>471</v>
      </c>
      <c r="C54" s="86"/>
      <c r="D54" s="86"/>
      <c r="E54" s="86"/>
      <c r="F54" s="86"/>
      <c r="G54" s="86"/>
      <c r="H54" s="86"/>
      <c r="I54" s="86"/>
      <c r="J54" s="86"/>
      <c r="K54" s="86"/>
      <c r="L54" s="86"/>
      <c r="M54" s="86"/>
      <c r="N54" s="86"/>
      <c r="O54" s="86"/>
      <c r="P54" s="86"/>
      <c r="Q54" s="86"/>
      <c r="R54" s="86"/>
      <c r="S54" s="86"/>
      <c r="T54" s="86"/>
      <c r="U54" s="87"/>
    </row>
    <row r="55" spans="2:21" ht="67.5" customHeight="1" thickBot="1" x14ac:dyDescent="0.25">
      <c r="B55" s="95" t="s">
        <v>472</v>
      </c>
      <c r="C55" s="96"/>
      <c r="D55" s="96"/>
      <c r="E55" s="96"/>
      <c r="F55" s="96"/>
      <c r="G55" s="96"/>
      <c r="H55" s="96"/>
      <c r="I55" s="96"/>
      <c r="J55" s="96"/>
      <c r="K55" s="96"/>
      <c r="L55" s="96"/>
      <c r="M55" s="96"/>
      <c r="N55" s="96"/>
      <c r="O55" s="96"/>
      <c r="P55" s="96"/>
      <c r="Q55" s="96"/>
      <c r="R55" s="96"/>
      <c r="S55" s="96"/>
      <c r="T55" s="96"/>
      <c r="U55" s="97"/>
    </row>
  </sheetData>
  <mergeCells count="100">
    <mergeCell ref="B52:U52"/>
    <mergeCell ref="B53:U53"/>
    <mergeCell ref="B54:U54"/>
    <mergeCell ref="B55:U55"/>
    <mergeCell ref="B46:U46"/>
    <mergeCell ref="B47:U47"/>
    <mergeCell ref="B48:U48"/>
    <mergeCell ref="B49:U49"/>
    <mergeCell ref="B50:U50"/>
    <mergeCell ref="B51:U51"/>
    <mergeCell ref="B45:U45"/>
    <mergeCell ref="B33:D33"/>
    <mergeCell ref="B34:D34"/>
    <mergeCell ref="B36:U36"/>
    <mergeCell ref="B37:U37"/>
    <mergeCell ref="B38:U38"/>
    <mergeCell ref="B39:U39"/>
    <mergeCell ref="B40:U40"/>
    <mergeCell ref="B41:U41"/>
    <mergeCell ref="B42:U42"/>
    <mergeCell ref="B43:U43"/>
    <mergeCell ref="B44:U44"/>
    <mergeCell ref="C28:H28"/>
    <mergeCell ref="I28:K28"/>
    <mergeCell ref="L28:O28"/>
    <mergeCell ref="C29:H29"/>
    <mergeCell ref="I29:K29"/>
    <mergeCell ref="L29:O29"/>
    <mergeCell ref="C26:H26"/>
    <mergeCell ref="I26:K26"/>
    <mergeCell ref="L26:O26"/>
    <mergeCell ref="C27:H27"/>
    <mergeCell ref="I27:K27"/>
    <mergeCell ref="L27:O27"/>
    <mergeCell ref="C24:H24"/>
    <mergeCell ref="I24:K24"/>
    <mergeCell ref="L24:O24"/>
    <mergeCell ref="C25:H25"/>
    <mergeCell ref="I25:K25"/>
    <mergeCell ref="L25:O25"/>
    <mergeCell ref="C22:H22"/>
    <mergeCell ref="I22:K22"/>
    <mergeCell ref="L22:O22"/>
    <mergeCell ref="C23:H23"/>
    <mergeCell ref="I23:K23"/>
    <mergeCell ref="L23:O23"/>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1"/>
  <sheetViews>
    <sheetView view="pageBreakPreview" topLeftCell="A16" zoomScale="70" zoomScaleNormal="80" zoomScaleSheetLayoutView="70" workbookViewId="0">
      <selection activeCell="P6" sqref="P6:Q6"/>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2.5" style="1" customWidth="1"/>
    <col min="19" max="19" width="16" style="1" customWidth="1"/>
    <col min="20" max="21" width="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473</v>
      </c>
      <c r="D4" s="57" t="s">
        <v>474</v>
      </c>
      <c r="E4" s="57"/>
      <c r="F4" s="57"/>
      <c r="G4" s="57"/>
      <c r="H4" s="57"/>
      <c r="I4" s="10"/>
      <c r="J4" s="11" t="s">
        <v>9</v>
      </c>
      <c r="K4" s="12" t="s">
        <v>10</v>
      </c>
      <c r="L4" s="58" t="s">
        <v>11</v>
      </c>
      <c r="M4" s="58"/>
      <c r="N4" s="58"/>
      <c r="O4" s="58"/>
      <c r="P4" s="11" t="s">
        <v>12</v>
      </c>
      <c r="Q4" s="58" t="s">
        <v>403</v>
      </c>
      <c r="R4" s="58"/>
      <c r="S4" s="11" t="s">
        <v>14</v>
      </c>
      <c r="T4" s="58" t="s">
        <v>196</v>
      </c>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88.5" customHeight="1" thickBot="1" x14ac:dyDescent="0.25">
      <c r="B6" s="13" t="s">
        <v>16</v>
      </c>
      <c r="C6" s="60" t="s">
        <v>228</v>
      </c>
      <c r="D6" s="60"/>
      <c r="E6" s="60"/>
      <c r="F6" s="60"/>
      <c r="G6" s="60"/>
      <c r="H6" s="14"/>
      <c r="I6" s="14"/>
      <c r="J6" s="14" t="s">
        <v>18</v>
      </c>
      <c r="K6" s="60" t="s">
        <v>404</v>
      </c>
      <c r="L6" s="60"/>
      <c r="M6" s="60"/>
      <c r="N6" s="15"/>
      <c r="O6" s="16" t="s">
        <v>20</v>
      </c>
      <c r="P6" s="60" t="s">
        <v>405</v>
      </c>
      <c r="Q6" s="60"/>
      <c r="R6" s="17"/>
      <c r="S6" s="16" t="s">
        <v>22</v>
      </c>
      <c r="T6" s="60" t="s">
        <v>406</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5"/>
      <c r="E8" s="65"/>
      <c r="F8" s="65"/>
      <c r="G8" s="65"/>
      <c r="H8" s="66"/>
      <c r="I8" s="71" t="s">
        <v>27</v>
      </c>
      <c r="J8" s="72"/>
      <c r="K8" s="72"/>
      <c r="L8" s="72"/>
      <c r="M8" s="72"/>
      <c r="N8" s="72"/>
      <c r="O8" s="72"/>
      <c r="P8" s="72"/>
      <c r="Q8" s="72"/>
      <c r="R8" s="72"/>
      <c r="S8" s="73"/>
      <c r="T8" s="74" t="s">
        <v>28</v>
      </c>
      <c r="U8" s="75"/>
    </row>
    <row r="9" spans="1:21" ht="19.5" customHeight="1" x14ac:dyDescent="0.2">
      <c r="B9" s="63"/>
      <c r="C9" s="67"/>
      <c r="D9" s="67"/>
      <c r="E9" s="67"/>
      <c r="F9" s="67"/>
      <c r="G9" s="67"/>
      <c r="H9" s="68"/>
      <c r="I9" s="76" t="s">
        <v>29</v>
      </c>
      <c r="J9" s="65"/>
      <c r="K9" s="65"/>
      <c r="L9" s="65" t="s">
        <v>30</v>
      </c>
      <c r="M9" s="65"/>
      <c r="N9" s="65"/>
      <c r="O9" s="65"/>
      <c r="P9" s="65" t="s">
        <v>31</v>
      </c>
      <c r="Q9" s="65" t="s">
        <v>32</v>
      </c>
      <c r="R9" s="79" t="s">
        <v>33</v>
      </c>
      <c r="S9" s="80"/>
      <c r="T9" s="65" t="s">
        <v>34</v>
      </c>
      <c r="U9" s="81" t="s">
        <v>35</v>
      </c>
    </row>
    <row r="10" spans="1:21" ht="26.25" customHeight="1" thickBot="1" x14ac:dyDescent="0.25">
      <c r="B10" s="64"/>
      <c r="C10" s="69"/>
      <c r="D10" s="69"/>
      <c r="E10" s="69"/>
      <c r="F10" s="69"/>
      <c r="G10" s="69"/>
      <c r="H10" s="70"/>
      <c r="I10" s="77"/>
      <c r="J10" s="78"/>
      <c r="K10" s="78"/>
      <c r="L10" s="78"/>
      <c r="M10" s="78"/>
      <c r="N10" s="78"/>
      <c r="O10" s="78"/>
      <c r="P10" s="78"/>
      <c r="Q10" s="78"/>
      <c r="R10" s="19" t="s">
        <v>36</v>
      </c>
      <c r="S10" s="20" t="s">
        <v>37</v>
      </c>
      <c r="T10" s="78"/>
      <c r="U10" s="82"/>
    </row>
    <row r="11" spans="1:21" ht="105.75" customHeight="1" thickTop="1" thickBot="1" x14ac:dyDescent="0.25">
      <c r="A11" s="21"/>
      <c r="B11" s="22" t="s">
        <v>38</v>
      </c>
      <c r="C11" s="83" t="s">
        <v>475</v>
      </c>
      <c r="D11" s="83"/>
      <c r="E11" s="83"/>
      <c r="F11" s="83"/>
      <c r="G11" s="83"/>
      <c r="H11" s="83"/>
      <c r="I11" s="83" t="s">
        <v>476</v>
      </c>
      <c r="J11" s="83"/>
      <c r="K11" s="83"/>
      <c r="L11" s="83" t="s">
        <v>477</v>
      </c>
      <c r="M11" s="83"/>
      <c r="N11" s="83"/>
      <c r="O11" s="83"/>
      <c r="P11" s="23" t="s">
        <v>42</v>
      </c>
      <c r="Q11" s="23" t="s">
        <v>478</v>
      </c>
      <c r="R11" s="23">
        <v>1</v>
      </c>
      <c r="S11" s="23">
        <v>0</v>
      </c>
      <c r="T11" s="23">
        <v>0</v>
      </c>
      <c r="U11" s="47">
        <f>0</f>
        <v>0</v>
      </c>
    </row>
    <row r="12" spans="1:21" ht="102" customHeight="1" thickTop="1" thickBot="1" x14ac:dyDescent="0.25">
      <c r="A12" s="21"/>
      <c r="B12" s="22" t="s">
        <v>44</v>
      </c>
      <c r="C12" s="83" t="s">
        <v>479</v>
      </c>
      <c r="D12" s="83"/>
      <c r="E12" s="83"/>
      <c r="F12" s="83"/>
      <c r="G12" s="83"/>
      <c r="H12" s="83"/>
      <c r="I12" s="83" t="s">
        <v>480</v>
      </c>
      <c r="J12" s="83"/>
      <c r="K12" s="83"/>
      <c r="L12" s="83" t="s">
        <v>481</v>
      </c>
      <c r="M12" s="83"/>
      <c r="N12" s="83"/>
      <c r="O12" s="83"/>
      <c r="P12" s="23" t="s">
        <v>42</v>
      </c>
      <c r="Q12" s="23" t="s">
        <v>43</v>
      </c>
      <c r="R12" s="23">
        <v>62</v>
      </c>
      <c r="S12" s="23">
        <v>62</v>
      </c>
      <c r="T12" s="23">
        <v>67.5</v>
      </c>
      <c r="U12" s="47">
        <f>108.87</f>
        <v>108.87</v>
      </c>
    </row>
    <row r="13" spans="1:21" ht="75" customHeight="1" thickTop="1" x14ac:dyDescent="0.2">
      <c r="A13" s="21"/>
      <c r="B13" s="22" t="s">
        <v>49</v>
      </c>
      <c r="C13" s="83" t="s">
        <v>482</v>
      </c>
      <c r="D13" s="83"/>
      <c r="E13" s="83"/>
      <c r="F13" s="83"/>
      <c r="G13" s="83"/>
      <c r="H13" s="83"/>
      <c r="I13" s="83" t="s">
        <v>483</v>
      </c>
      <c r="J13" s="83"/>
      <c r="K13" s="83"/>
      <c r="L13" s="83" t="s">
        <v>484</v>
      </c>
      <c r="M13" s="83"/>
      <c r="N13" s="83"/>
      <c r="O13" s="83"/>
      <c r="P13" s="23" t="s">
        <v>42</v>
      </c>
      <c r="Q13" s="23" t="s">
        <v>58</v>
      </c>
      <c r="R13" s="23">
        <v>92</v>
      </c>
      <c r="S13" s="23">
        <v>92.01</v>
      </c>
      <c r="T13" s="23">
        <v>100</v>
      </c>
      <c r="U13" s="47">
        <f>108.68</f>
        <v>108.68</v>
      </c>
    </row>
    <row r="14" spans="1:21" ht="75" customHeight="1" thickBot="1" x14ac:dyDescent="0.25">
      <c r="A14" s="21"/>
      <c r="B14" s="24" t="s">
        <v>54</v>
      </c>
      <c r="C14" s="84" t="s">
        <v>485</v>
      </c>
      <c r="D14" s="84"/>
      <c r="E14" s="84"/>
      <c r="F14" s="84"/>
      <c r="G14" s="84"/>
      <c r="H14" s="84"/>
      <c r="I14" s="84" t="s">
        <v>486</v>
      </c>
      <c r="J14" s="84"/>
      <c r="K14" s="84"/>
      <c r="L14" s="84" t="s">
        <v>487</v>
      </c>
      <c r="M14" s="84"/>
      <c r="N14" s="84"/>
      <c r="O14" s="84"/>
      <c r="P14" s="25" t="s">
        <v>42</v>
      </c>
      <c r="Q14" s="25" t="s">
        <v>53</v>
      </c>
      <c r="R14" s="25">
        <v>40</v>
      </c>
      <c r="S14" s="25">
        <v>40</v>
      </c>
      <c r="T14" s="25">
        <v>49.84</v>
      </c>
      <c r="U14" s="26">
        <f>124.6</f>
        <v>124.6</v>
      </c>
    </row>
    <row r="15" spans="1:21" ht="75" customHeight="1" thickTop="1" x14ac:dyDescent="0.2">
      <c r="A15" s="21"/>
      <c r="B15" s="22" t="s">
        <v>63</v>
      </c>
      <c r="C15" s="83" t="s">
        <v>488</v>
      </c>
      <c r="D15" s="83"/>
      <c r="E15" s="83"/>
      <c r="F15" s="83"/>
      <c r="G15" s="83"/>
      <c r="H15" s="83"/>
      <c r="I15" s="83" t="s">
        <v>489</v>
      </c>
      <c r="J15" s="83"/>
      <c r="K15" s="83"/>
      <c r="L15" s="83" t="s">
        <v>490</v>
      </c>
      <c r="M15" s="83"/>
      <c r="N15" s="83"/>
      <c r="O15" s="83"/>
      <c r="P15" s="23" t="s">
        <v>361</v>
      </c>
      <c r="Q15" s="23" t="s">
        <v>84</v>
      </c>
      <c r="R15" s="23">
        <v>98000</v>
      </c>
      <c r="S15" s="23">
        <v>98011.18</v>
      </c>
      <c r="T15" s="23">
        <v>103968.19</v>
      </c>
      <c r="U15" s="47">
        <f>106.07</f>
        <v>106.07</v>
      </c>
    </row>
    <row r="16" spans="1:21" ht="75" customHeight="1" x14ac:dyDescent="0.2">
      <c r="A16" s="21"/>
      <c r="B16" s="24" t="s">
        <v>54</v>
      </c>
      <c r="C16" s="84" t="s">
        <v>491</v>
      </c>
      <c r="D16" s="84"/>
      <c r="E16" s="84"/>
      <c r="F16" s="84"/>
      <c r="G16" s="84"/>
      <c r="H16" s="84"/>
      <c r="I16" s="84" t="s">
        <v>492</v>
      </c>
      <c r="J16" s="84"/>
      <c r="K16" s="84"/>
      <c r="L16" s="84" t="s">
        <v>493</v>
      </c>
      <c r="M16" s="84"/>
      <c r="N16" s="84"/>
      <c r="O16" s="84"/>
      <c r="P16" s="25" t="s">
        <v>494</v>
      </c>
      <c r="Q16" s="25" t="s">
        <v>84</v>
      </c>
      <c r="R16" s="45">
        <v>6</v>
      </c>
      <c r="S16" s="45">
        <v>6.2</v>
      </c>
      <c r="T16" s="45">
        <v>6.91</v>
      </c>
      <c r="U16" s="26">
        <f>111.45</f>
        <v>111.45</v>
      </c>
    </row>
    <row r="17" spans="1:22" ht="75" customHeight="1" thickBot="1" x14ac:dyDescent="0.25">
      <c r="A17" s="21"/>
      <c r="B17" s="24" t="s">
        <v>54</v>
      </c>
      <c r="C17" s="84" t="s">
        <v>495</v>
      </c>
      <c r="D17" s="84"/>
      <c r="E17" s="84"/>
      <c r="F17" s="84"/>
      <c r="G17" s="84"/>
      <c r="H17" s="84"/>
      <c r="I17" s="84" t="s">
        <v>496</v>
      </c>
      <c r="J17" s="84"/>
      <c r="K17" s="84"/>
      <c r="L17" s="84" t="s">
        <v>497</v>
      </c>
      <c r="M17" s="84"/>
      <c r="N17" s="84"/>
      <c r="O17" s="84"/>
      <c r="P17" s="25" t="s">
        <v>498</v>
      </c>
      <c r="Q17" s="25" t="s">
        <v>74</v>
      </c>
      <c r="R17" s="45">
        <v>29000</v>
      </c>
      <c r="S17" s="45">
        <v>34290</v>
      </c>
      <c r="T17" s="45">
        <v>36748</v>
      </c>
      <c r="U17" s="26">
        <f>107.16</f>
        <v>107.16</v>
      </c>
    </row>
    <row r="18" spans="1:22" ht="14.25" customHeight="1" thickTop="1" thickBot="1" x14ac:dyDescent="0.25">
      <c r="B18" s="4" t="s">
        <v>92</v>
      </c>
      <c r="C18" s="5"/>
      <c r="D18" s="5"/>
      <c r="E18" s="5"/>
      <c r="F18" s="5"/>
      <c r="G18" s="5"/>
      <c r="H18" s="6"/>
      <c r="I18" s="6"/>
      <c r="J18" s="6"/>
      <c r="K18" s="6"/>
      <c r="L18" s="6"/>
      <c r="M18" s="6"/>
      <c r="N18" s="6"/>
      <c r="O18" s="6"/>
      <c r="P18" s="6"/>
      <c r="Q18" s="6"/>
      <c r="R18" s="6"/>
      <c r="S18" s="6"/>
      <c r="T18" s="6"/>
      <c r="U18" s="7"/>
      <c r="V18" s="27"/>
    </row>
    <row r="19" spans="1:22" ht="26.25" customHeight="1" thickTop="1" x14ac:dyDescent="0.2">
      <c r="B19" s="28"/>
      <c r="C19" s="29"/>
      <c r="D19" s="29"/>
      <c r="E19" s="29"/>
      <c r="F19" s="29"/>
      <c r="G19" s="29"/>
      <c r="H19" s="30"/>
      <c r="I19" s="30"/>
      <c r="J19" s="30"/>
      <c r="K19" s="30"/>
      <c r="L19" s="30"/>
      <c r="M19" s="30"/>
      <c r="N19" s="30"/>
      <c r="O19" s="30"/>
      <c r="P19" s="30"/>
      <c r="Q19" s="30"/>
      <c r="R19" s="31"/>
      <c r="S19" s="32" t="s">
        <v>33</v>
      </c>
      <c r="T19" s="32" t="s">
        <v>93</v>
      </c>
      <c r="U19" s="18" t="s">
        <v>94</v>
      </c>
    </row>
    <row r="20" spans="1:22" ht="26.25" customHeight="1" thickBot="1" x14ac:dyDescent="0.25">
      <c r="B20" s="33"/>
      <c r="C20" s="34"/>
      <c r="D20" s="34"/>
      <c r="E20" s="34"/>
      <c r="F20" s="34"/>
      <c r="G20" s="34"/>
      <c r="H20" s="35"/>
      <c r="I20" s="35"/>
      <c r="J20" s="35"/>
      <c r="K20" s="35"/>
      <c r="L20" s="35"/>
      <c r="M20" s="35"/>
      <c r="N20" s="35"/>
      <c r="O20" s="35"/>
      <c r="P20" s="35"/>
      <c r="Q20" s="35"/>
      <c r="R20" s="35"/>
      <c r="S20" s="36" t="s">
        <v>95</v>
      </c>
      <c r="T20" s="37" t="s">
        <v>95</v>
      </c>
      <c r="U20" s="37" t="s">
        <v>96</v>
      </c>
    </row>
    <row r="21" spans="1:22" ht="13.5" customHeight="1" thickBot="1" x14ac:dyDescent="0.25">
      <c r="B21" s="88" t="s">
        <v>97</v>
      </c>
      <c r="C21" s="89"/>
      <c r="D21" s="89"/>
      <c r="E21" s="38"/>
      <c r="F21" s="38"/>
      <c r="G21" s="38"/>
      <c r="H21" s="39"/>
      <c r="I21" s="39"/>
      <c r="J21" s="39"/>
      <c r="K21" s="39"/>
      <c r="L21" s="39"/>
      <c r="M21" s="39"/>
      <c r="N21" s="39"/>
      <c r="O21" s="39"/>
      <c r="P21" s="40"/>
      <c r="Q21" s="40"/>
      <c r="R21" s="40"/>
      <c r="S21" s="48">
        <v>443.88499999999999</v>
      </c>
      <c r="T21" s="48">
        <v>496.01155966999994</v>
      </c>
      <c r="U21" s="49">
        <f>+IF(ISERR(T21/S21*100),"N/A",ROUND(T21/S21*100,1))</f>
        <v>111.7</v>
      </c>
    </row>
    <row r="22" spans="1:22" ht="13.5" customHeight="1" thickBot="1" x14ac:dyDescent="0.25">
      <c r="B22" s="90" t="s">
        <v>98</v>
      </c>
      <c r="C22" s="91"/>
      <c r="D22" s="91"/>
      <c r="E22" s="41"/>
      <c r="F22" s="41"/>
      <c r="G22" s="41"/>
      <c r="H22" s="42"/>
      <c r="I22" s="42"/>
      <c r="J22" s="42"/>
      <c r="K22" s="42"/>
      <c r="L22" s="42"/>
      <c r="M22" s="42"/>
      <c r="N22" s="42"/>
      <c r="O22" s="42"/>
      <c r="P22" s="43"/>
      <c r="Q22" s="43"/>
      <c r="R22" s="43"/>
      <c r="S22" s="48">
        <v>496.01155966999994</v>
      </c>
      <c r="T22" s="48">
        <v>496.01155966999994</v>
      </c>
      <c r="U22" s="49">
        <f>+IF(ISERR(T22/S22*100),"N/A",ROUND(T22/S22*100,1))</f>
        <v>100</v>
      </c>
    </row>
    <row r="23" spans="1:22" ht="14.85" customHeight="1" thickTop="1" thickBot="1" x14ac:dyDescent="0.25">
      <c r="B23" s="4" t="s">
        <v>99</v>
      </c>
      <c r="C23" s="5"/>
      <c r="D23" s="5"/>
      <c r="E23" s="5"/>
      <c r="F23" s="5"/>
      <c r="G23" s="5"/>
      <c r="H23" s="6"/>
      <c r="I23" s="6"/>
      <c r="J23" s="6"/>
      <c r="K23" s="6"/>
      <c r="L23" s="6"/>
      <c r="M23" s="6"/>
      <c r="N23" s="6"/>
      <c r="O23" s="6"/>
      <c r="P23" s="6"/>
      <c r="Q23" s="6"/>
      <c r="R23" s="6"/>
      <c r="S23" s="6"/>
      <c r="T23" s="6"/>
      <c r="U23" s="7"/>
    </row>
    <row r="24" spans="1:22" ht="44.25" customHeight="1" thickTop="1" x14ac:dyDescent="0.2">
      <c r="B24" s="92" t="s">
        <v>100</v>
      </c>
      <c r="C24" s="93"/>
      <c r="D24" s="93"/>
      <c r="E24" s="93"/>
      <c r="F24" s="93"/>
      <c r="G24" s="93"/>
      <c r="H24" s="93"/>
      <c r="I24" s="93"/>
      <c r="J24" s="93"/>
      <c r="K24" s="93"/>
      <c r="L24" s="93"/>
      <c r="M24" s="93"/>
      <c r="N24" s="93"/>
      <c r="O24" s="93"/>
      <c r="P24" s="93"/>
      <c r="Q24" s="93"/>
      <c r="R24" s="93"/>
      <c r="S24" s="93"/>
      <c r="T24" s="93"/>
      <c r="U24" s="94"/>
    </row>
    <row r="25" spans="1:22" ht="91.5" customHeight="1" x14ac:dyDescent="0.2">
      <c r="B25" s="85" t="s">
        <v>499</v>
      </c>
      <c r="C25" s="86"/>
      <c r="D25" s="86"/>
      <c r="E25" s="86"/>
      <c r="F25" s="86"/>
      <c r="G25" s="86"/>
      <c r="H25" s="86"/>
      <c r="I25" s="86"/>
      <c r="J25" s="86"/>
      <c r="K25" s="86"/>
      <c r="L25" s="86"/>
      <c r="M25" s="86"/>
      <c r="N25" s="86"/>
      <c r="O25" s="86"/>
      <c r="P25" s="86"/>
      <c r="Q25" s="86"/>
      <c r="R25" s="86"/>
      <c r="S25" s="86"/>
      <c r="T25" s="86"/>
      <c r="U25" s="87"/>
    </row>
    <row r="26" spans="1:22" ht="141" customHeight="1" x14ac:dyDescent="0.2">
      <c r="B26" s="85" t="s">
        <v>500</v>
      </c>
      <c r="C26" s="86"/>
      <c r="D26" s="86"/>
      <c r="E26" s="86"/>
      <c r="F26" s="86"/>
      <c r="G26" s="86"/>
      <c r="H26" s="86"/>
      <c r="I26" s="86"/>
      <c r="J26" s="86"/>
      <c r="K26" s="86"/>
      <c r="L26" s="86"/>
      <c r="M26" s="86"/>
      <c r="N26" s="86"/>
      <c r="O26" s="86"/>
      <c r="P26" s="86"/>
      <c r="Q26" s="86"/>
      <c r="R26" s="86"/>
      <c r="S26" s="86"/>
      <c r="T26" s="86"/>
      <c r="U26" s="87"/>
    </row>
    <row r="27" spans="1:22" ht="56.25" customHeight="1" x14ac:dyDescent="0.2">
      <c r="B27" s="85" t="s">
        <v>501</v>
      </c>
      <c r="C27" s="86"/>
      <c r="D27" s="86"/>
      <c r="E27" s="86"/>
      <c r="F27" s="86"/>
      <c r="G27" s="86"/>
      <c r="H27" s="86"/>
      <c r="I27" s="86"/>
      <c r="J27" s="86"/>
      <c r="K27" s="86"/>
      <c r="L27" s="86"/>
      <c r="M27" s="86"/>
      <c r="N27" s="86"/>
      <c r="O27" s="86"/>
      <c r="P27" s="86"/>
      <c r="Q27" s="86"/>
      <c r="R27" s="86"/>
      <c r="S27" s="86"/>
      <c r="T27" s="86"/>
      <c r="U27" s="87"/>
    </row>
    <row r="28" spans="1:22" ht="54" customHeight="1" x14ac:dyDescent="0.2">
      <c r="B28" s="85" t="s">
        <v>502</v>
      </c>
      <c r="C28" s="86"/>
      <c r="D28" s="86"/>
      <c r="E28" s="86"/>
      <c r="F28" s="86"/>
      <c r="G28" s="86"/>
      <c r="H28" s="86"/>
      <c r="I28" s="86"/>
      <c r="J28" s="86"/>
      <c r="K28" s="86"/>
      <c r="L28" s="86"/>
      <c r="M28" s="86"/>
      <c r="N28" s="86"/>
      <c r="O28" s="86"/>
      <c r="P28" s="86"/>
      <c r="Q28" s="86"/>
      <c r="R28" s="86"/>
      <c r="S28" s="86"/>
      <c r="T28" s="86"/>
      <c r="U28" s="87"/>
    </row>
    <row r="29" spans="1:22" ht="56.25" customHeight="1" x14ac:dyDescent="0.2">
      <c r="B29" s="85" t="s">
        <v>503</v>
      </c>
      <c r="C29" s="86"/>
      <c r="D29" s="86"/>
      <c r="E29" s="86"/>
      <c r="F29" s="86"/>
      <c r="G29" s="86"/>
      <c r="H29" s="86"/>
      <c r="I29" s="86"/>
      <c r="J29" s="86"/>
      <c r="K29" s="86"/>
      <c r="L29" s="86"/>
      <c r="M29" s="86"/>
      <c r="N29" s="86"/>
      <c r="O29" s="86"/>
      <c r="P29" s="86"/>
      <c r="Q29" s="86"/>
      <c r="R29" s="86"/>
      <c r="S29" s="86"/>
      <c r="T29" s="86"/>
      <c r="U29" s="87"/>
    </row>
    <row r="30" spans="1:22" ht="48.75" customHeight="1" x14ac:dyDescent="0.2">
      <c r="B30" s="85" t="s">
        <v>504</v>
      </c>
      <c r="C30" s="86"/>
      <c r="D30" s="86"/>
      <c r="E30" s="86"/>
      <c r="F30" s="86"/>
      <c r="G30" s="86"/>
      <c r="H30" s="86"/>
      <c r="I30" s="86"/>
      <c r="J30" s="86"/>
      <c r="K30" s="86"/>
      <c r="L30" s="86"/>
      <c r="M30" s="86"/>
      <c r="N30" s="86"/>
      <c r="O30" s="86"/>
      <c r="P30" s="86"/>
      <c r="Q30" s="86"/>
      <c r="R30" s="86"/>
      <c r="S30" s="86"/>
      <c r="T30" s="86"/>
      <c r="U30" s="87"/>
    </row>
    <row r="31" spans="1:22" ht="46.5" customHeight="1" thickBot="1" x14ac:dyDescent="0.25">
      <c r="B31" s="95" t="s">
        <v>505</v>
      </c>
      <c r="C31" s="96"/>
      <c r="D31" s="96"/>
      <c r="E31" s="96"/>
      <c r="F31" s="96"/>
      <c r="G31" s="96"/>
      <c r="H31" s="96"/>
      <c r="I31" s="96"/>
      <c r="J31" s="96"/>
      <c r="K31" s="96"/>
      <c r="L31" s="96"/>
      <c r="M31" s="96"/>
      <c r="N31" s="96"/>
      <c r="O31" s="96"/>
      <c r="P31" s="96"/>
      <c r="Q31" s="96"/>
      <c r="R31" s="96"/>
      <c r="S31" s="96"/>
      <c r="T31" s="96"/>
      <c r="U31" s="97"/>
    </row>
  </sheetData>
  <mergeCells count="52">
    <mergeCell ref="B28:U28"/>
    <mergeCell ref="B29:U29"/>
    <mergeCell ref="B30:U30"/>
    <mergeCell ref="B31:U31"/>
    <mergeCell ref="B21:D21"/>
    <mergeCell ref="B22:D22"/>
    <mergeCell ref="B24:U24"/>
    <mergeCell ref="B25:U25"/>
    <mergeCell ref="B26:U26"/>
    <mergeCell ref="B27:U27"/>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8"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28</vt:i4>
      </vt:variant>
    </vt:vector>
  </HeadingPairs>
  <TitlesOfParts>
    <vt:vector size="42" baseType="lpstr">
      <vt:lpstr>Portada</vt:lpstr>
      <vt:lpstr>6 E011</vt:lpstr>
      <vt:lpstr>6 E032</vt:lpstr>
      <vt:lpstr>6 F001</vt:lpstr>
      <vt:lpstr>6 F006</vt:lpstr>
      <vt:lpstr>6 S001</vt:lpstr>
      <vt:lpstr>6 S172</vt:lpstr>
      <vt:lpstr>6 S179</vt:lpstr>
      <vt:lpstr>6 S181</vt:lpstr>
      <vt:lpstr>6 S182</vt:lpstr>
      <vt:lpstr>6 S183</vt:lpstr>
      <vt:lpstr>6 S185</vt:lpstr>
      <vt:lpstr>6 S199</vt:lpstr>
      <vt:lpstr>6 S239</vt:lpstr>
      <vt:lpstr>'6 E011'!Área_de_impresión</vt:lpstr>
      <vt:lpstr>'6 E032'!Área_de_impresión</vt:lpstr>
      <vt:lpstr>'6 F001'!Área_de_impresión</vt:lpstr>
      <vt:lpstr>'6 F006'!Área_de_impresión</vt:lpstr>
      <vt:lpstr>'6 S001'!Área_de_impresión</vt:lpstr>
      <vt:lpstr>'6 S172'!Área_de_impresión</vt:lpstr>
      <vt:lpstr>'6 S179'!Área_de_impresión</vt:lpstr>
      <vt:lpstr>'6 S181'!Área_de_impresión</vt:lpstr>
      <vt:lpstr>'6 S182'!Área_de_impresión</vt:lpstr>
      <vt:lpstr>'6 S183'!Área_de_impresión</vt:lpstr>
      <vt:lpstr>'6 S185'!Área_de_impresión</vt:lpstr>
      <vt:lpstr>'6 S199'!Área_de_impresión</vt:lpstr>
      <vt:lpstr>'6 S239'!Área_de_impresión</vt:lpstr>
      <vt:lpstr>Portada!Área_de_impresión</vt:lpstr>
      <vt:lpstr>'6 E011'!Títulos_a_imprimir</vt:lpstr>
      <vt:lpstr>'6 E032'!Títulos_a_imprimir</vt:lpstr>
      <vt:lpstr>'6 F001'!Títulos_a_imprimir</vt:lpstr>
      <vt:lpstr>'6 F006'!Títulos_a_imprimir</vt:lpstr>
      <vt:lpstr>'6 S001'!Títulos_a_imprimir</vt:lpstr>
      <vt:lpstr>'6 S172'!Títulos_a_imprimir</vt:lpstr>
      <vt:lpstr>'6 S179'!Títulos_a_imprimir</vt:lpstr>
      <vt:lpstr>'6 S181'!Títulos_a_imprimir</vt:lpstr>
      <vt:lpstr>'6 S182'!Títulos_a_imprimir</vt:lpstr>
      <vt:lpstr>'6 S183'!Títulos_a_imprimir</vt:lpstr>
      <vt:lpstr>'6 S185'!Títulos_a_imprimir</vt:lpstr>
      <vt:lpstr>'6 S199'!Títulos_a_imprimir</vt:lpstr>
      <vt:lpstr>'6 S239'!Títulos_a_imprimir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Pablo Emilio Ballesteros Cesar</cp:lastModifiedBy>
  <cp:lastPrinted>2009-03-26T01:46:20Z</cp:lastPrinted>
  <dcterms:created xsi:type="dcterms:W3CDTF">2009-03-25T01:44:41Z</dcterms:created>
  <dcterms:modified xsi:type="dcterms:W3CDTF">2014-04-10T15:59:47Z</dcterms:modified>
</cp:coreProperties>
</file>