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12600" windowHeight="12405" tabRatio="655" firstSheet="3" activeTab="8"/>
  </bookViews>
  <sheets>
    <sheet name="Portada" sheetId="1" r:id="rId1"/>
    <sheet name="15 E002" sheetId="2" r:id="rId2"/>
    <sheet name="15 S048" sheetId="3" r:id="rId3"/>
    <sheet name="15 S058" sheetId="4" r:id="rId4"/>
    <sheet name="15 S088" sheetId="5" r:id="rId5"/>
    <sheet name="15 S117" sheetId="6" r:id="rId6"/>
    <sheet name="15 S175" sheetId="7" r:id="rId7"/>
    <sheet name="15 S177" sheetId="8" r:id="rId8"/>
    <sheet name="15 S213" sheetId="9" r:id="rId9"/>
  </sheets>
  <definedNames>
    <definedName name="_xlnm.Print_Area" localSheetId="1">'15 E002'!$B$1:$U$43</definedName>
    <definedName name="_xlnm.Print_Area" localSheetId="2">'15 S048'!$B$1:$U$69</definedName>
    <definedName name="_xlnm.Print_Area" localSheetId="3">'15 S058'!$B$1:$U$64</definedName>
    <definedName name="_xlnm.Print_Area" localSheetId="4">'15 S088'!$B$1:$U$41</definedName>
    <definedName name="_xlnm.Print_Area" localSheetId="5">'15 S117'!$B$1:$U$62</definedName>
    <definedName name="_xlnm.Print_Area" localSheetId="6">'15 S175'!$B$1:$U$65</definedName>
    <definedName name="_xlnm.Print_Area" localSheetId="7">'15 S177'!$B$1:$U$53</definedName>
    <definedName name="_xlnm.Print_Area" localSheetId="8">'15 S213'!$B$1:$U$36</definedName>
    <definedName name="_xlnm.Print_Area" localSheetId="0">Portada!$B$1:$AD$86</definedName>
    <definedName name="_xlnm.Print_Titles" localSheetId="1">'15 E002'!$1:$4</definedName>
    <definedName name="_xlnm.Print_Titles" localSheetId="2">'15 S048'!$1:$4</definedName>
    <definedName name="_xlnm.Print_Titles" localSheetId="3">'15 S058'!$1:$4</definedName>
    <definedName name="_xlnm.Print_Titles" localSheetId="4">'15 S088'!$1:$4</definedName>
    <definedName name="_xlnm.Print_Titles" localSheetId="5">'15 S117'!$1:$4</definedName>
    <definedName name="_xlnm.Print_Titles" localSheetId="6">'15 S175'!$1:$4</definedName>
    <definedName name="_xlnm.Print_Titles" localSheetId="7">'15 S177'!$1:$4</definedName>
    <definedName name="_xlnm.Print_Titles" localSheetId="8">'15 S213'!$1:$4</definedName>
    <definedName name="_xlnm.Print_Titles" localSheetId="0">Portada!$1:$4</definedName>
  </definedNames>
  <calcPr calcId="145621"/>
</workbook>
</file>

<file path=xl/calcChain.xml><?xml version="1.0" encoding="utf-8"?>
<calcChain xmlns="http://schemas.openxmlformats.org/spreadsheetml/2006/main">
  <c r="U37" i="7" l="1"/>
  <c r="U29" i="7" l="1"/>
  <c r="U23" i="7"/>
  <c r="U18" i="9" l="1"/>
  <c r="U17" i="9"/>
  <c r="U16" i="9"/>
  <c r="U15" i="9"/>
  <c r="U14" i="9"/>
  <c r="U13" i="9"/>
  <c r="U12" i="9"/>
  <c r="U11" i="9"/>
  <c r="U31" i="8"/>
  <c r="U30" i="8"/>
  <c r="U26" i="8"/>
  <c r="U25" i="8"/>
  <c r="U24" i="8"/>
  <c r="U23" i="8"/>
  <c r="U22" i="8"/>
  <c r="U21" i="8"/>
  <c r="U20" i="8"/>
  <c r="U19" i="8"/>
  <c r="U18" i="8"/>
  <c r="U17" i="8"/>
  <c r="U16" i="8"/>
  <c r="U15" i="8"/>
  <c r="U14" i="8"/>
  <c r="U13" i="8"/>
  <c r="U12" i="8"/>
  <c r="U11" i="8"/>
  <c r="U36" i="7"/>
  <c r="U32" i="7"/>
  <c r="U31" i="7"/>
  <c r="U30" i="7"/>
  <c r="U28" i="7"/>
  <c r="U27" i="7"/>
  <c r="U26" i="7"/>
  <c r="U25" i="7"/>
  <c r="U24" i="7"/>
  <c r="U22" i="7"/>
  <c r="U21" i="7"/>
  <c r="U20" i="7"/>
  <c r="U19" i="7"/>
  <c r="U18" i="7"/>
  <c r="U17" i="7"/>
  <c r="U16" i="7"/>
  <c r="U15" i="7"/>
  <c r="U14" i="7"/>
  <c r="U13" i="7"/>
  <c r="U12" i="7"/>
  <c r="U11" i="7"/>
  <c r="U36" i="6"/>
  <c r="U35" i="6"/>
  <c r="U31" i="6"/>
  <c r="U30" i="6"/>
  <c r="U29" i="6"/>
  <c r="U28" i="6"/>
  <c r="U27" i="6"/>
  <c r="U26" i="6"/>
  <c r="U25" i="6"/>
  <c r="U24" i="6"/>
  <c r="U23" i="6"/>
  <c r="U22" i="6"/>
  <c r="U21" i="6"/>
  <c r="U20" i="6"/>
  <c r="U19" i="6"/>
  <c r="U18" i="6"/>
  <c r="U17" i="6"/>
  <c r="U16" i="6"/>
  <c r="U15" i="6"/>
  <c r="U14" i="6"/>
  <c r="U13" i="6"/>
  <c r="U12" i="6"/>
  <c r="U11" i="6"/>
  <c r="U25" i="5"/>
  <c r="U24" i="5"/>
  <c r="U20" i="5"/>
  <c r="U19" i="5"/>
  <c r="U18" i="5"/>
  <c r="U17" i="5"/>
  <c r="U16" i="5"/>
  <c r="U15" i="5"/>
  <c r="U14" i="5"/>
  <c r="U13" i="5"/>
  <c r="U12" i="5"/>
  <c r="U11" i="5"/>
  <c r="U36" i="4"/>
  <c r="U32" i="4"/>
  <c r="U31" i="4"/>
  <c r="U30" i="4"/>
  <c r="U29" i="4"/>
  <c r="U28" i="4"/>
  <c r="U27" i="4"/>
  <c r="U26" i="4"/>
  <c r="U25" i="4"/>
  <c r="U24" i="4"/>
  <c r="U23" i="4"/>
  <c r="U22" i="4"/>
  <c r="U21" i="4"/>
  <c r="U20" i="4"/>
  <c r="U19" i="4"/>
  <c r="U18" i="4"/>
  <c r="U17" i="4"/>
  <c r="U16" i="4"/>
  <c r="U15" i="4"/>
  <c r="U14" i="4"/>
  <c r="U13" i="4"/>
  <c r="U12" i="4"/>
  <c r="U11" i="4"/>
  <c r="U36" i="3"/>
  <c r="U35" i="3"/>
  <c r="U34" i="3"/>
  <c r="U33" i="3"/>
  <c r="U32" i="3"/>
  <c r="U31" i="3"/>
  <c r="U30" i="3"/>
  <c r="U29" i="3"/>
  <c r="U28" i="3"/>
  <c r="U27" i="3"/>
  <c r="U26" i="3"/>
  <c r="U25" i="3"/>
  <c r="U24" i="3"/>
  <c r="U23" i="3"/>
  <c r="U22" i="3"/>
  <c r="U21" i="3"/>
  <c r="U20" i="3"/>
  <c r="U19" i="3"/>
  <c r="U18" i="3"/>
  <c r="U17" i="3"/>
  <c r="U16" i="3"/>
  <c r="U15" i="3"/>
  <c r="U14" i="3"/>
  <c r="U13" i="3"/>
  <c r="U12" i="3"/>
  <c r="U11" i="3"/>
  <c r="U26" i="2"/>
  <c r="U25" i="2"/>
  <c r="U21" i="2"/>
  <c r="U20" i="2"/>
  <c r="U19" i="2"/>
  <c r="U18" i="2"/>
  <c r="U17" i="2"/>
  <c r="U16" i="2"/>
  <c r="U15" i="2"/>
  <c r="U14" i="2"/>
  <c r="U13" i="2"/>
  <c r="U12" i="2"/>
  <c r="U11" i="2"/>
  <c r="U22" i="9" l="1"/>
  <c r="U23" i="9"/>
  <c r="U40" i="3"/>
  <c r="U41" i="3"/>
</calcChain>
</file>

<file path=xl/sharedStrings.xml><?xml version="1.0" encoding="utf-8"?>
<sst xmlns="http://schemas.openxmlformats.org/spreadsheetml/2006/main" count="1383" uniqueCount="583">
  <si>
    <t>Avance en los Indicadores de los Programas presupuestarios de la Administración Pública Federal</t>
  </si>
  <si>
    <t xml:space="preserve">    Ejercicio Fiscal 2013</t>
  </si>
  <si>
    <t>Ramo 15
Desarrollo Agrario, Territorial y Urbano</t>
  </si>
  <si>
    <t>Programas presupuestarios cuya MIR se incluye en el reporte</t>
  </si>
  <si>
    <t xml:space="preserve">E-002 Programa de Atención de Conflictos Sociales en el Medio Rural
S-048 Programa Hábitat
S-058 Programa de vivienda digna
S-088 Programa de la Mujer en el Sector Agrario (PROMUSAG)
S-117 Programa de Vivienda Rural
S-175 Rescate de espacios públicos
S-177 Programa de esquema de financiamiento y subsidio federal para vivienda
S-213 Programa de apoyo a los avecindados en condiciones de pobreza patrimonial para regularizar asentamientos humanos irregulares (PASPRAH).
</t>
  </si>
  <si>
    <t>DATOS DEL PROGRAMA</t>
  </si>
  <si>
    <t>Programa presupuestario</t>
  </si>
  <si>
    <t>E002</t>
  </si>
  <si>
    <t>Programa de Atención de Conflictos Sociales en el Medio Rural</t>
  </si>
  <si>
    <t>Ramo</t>
  </si>
  <si>
    <t>15</t>
  </si>
  <si>
    <t>Desarrollo Agrario, Territorial y Urbano</t>
  </si>
  <si>
    <t>Unidad responsable</t>
  </si>
  <si>
    <t>211-Dirección General de Concertación Agraria</t>
  </si>
  <si>
    <t>Enfoques transversales</t>
  </si>
  <si>
    <t>Clasificación Funcional</t>
  </si>
  <si>
    <t>Finalidad</t>
  </si>
  <si>
    <t>3 - Desarrollo Económico</t>
  </si>
  <si>
    <t>Función</t>
  </si>
  <si>
    <t>2 - Agropecuaria, Silvicultura, Pesca y Caza</t>
  </si>
  <si>
    <t>Subfunción</t>
  </si>
  <si>
    <t>1 - Agropecuaria</t>
  </si>
  <si>
    <t>Actividad Institucional</t>
  </si>
  <si>
    <t>4 - Ordenamiento y regularización de la propiedad rural</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</si>
  <si>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</si>
  <si>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</si>
  <si>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</si>
  <si>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</si>
  <si>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</si>
  <si>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</si>
  <si>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</si>
  <si>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</si>
  <si>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</si>
  <si>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</si>
  <si>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</si>
  <si>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</si>
  <si>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</si>
  <si>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</si>
  <si>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</si>
  <si>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garantizar la seguridad jurídica en la tenencia de la tierra ejidal, comunal, colonias agrícolas y ganaderas, terrenos nacionales y pequeña propiedad; mediante la solución y atención a los conflictos sociales agrarios en el medio rural identificados</t>
  </si>
  <si>
    <r>
      <t xml:space="preserve"> Porcentaje de superficie desactivada de conflictos sociales agrarios</t>
    </r>
    <r>
      <rPr>
        <i/>
        <sz val="10"/>
        <color indexed="30"/>
        <rFont val="Soberana Sans"/>
        <family val="3"/>
      </rPr>
      <t xml:space="preserve">
</t>
    </r>
  </si>
  <si>
    <t>(Superficie desactivada de conflictos sociales agrarios / Superficie con conflictos sociales agrarios estimada en el país)*100.</t>
  </si>
  <si>
    <t>Porcentaje</t>
  </si>
  <si>
    <t>Estratégico-Eficacia-Trimestral</t>
  </si>
  <si>
    <t/>
  </si>
  <si>
    <r>
      <t>Población directamente beneficiada con la solución de los conflictos sociales agrarios.</t>
    </r>
    <r>
      <rPr>
        <i/>
        <sz val="10"/>
        <color indexed="30"/>
        <rFont val="Soberana Sans"/>
        <family val="3"/>
      </rPr>
      <t xml:space="preserve">
</t>
    </r>
  </si>
  <si>
    <t>(Población directamente beneficiada con la solución de los conflictos sociales agrarios / Población afectada por los conflictos sociales agrarios estimada en el país)*100</t>
  </si>
  <si>
    <t>Propósito</t>
  </si>
  <si>
    <t>Los sujetos agrarios convienen satisfactoriamente la solución de los conflictos sociales agrarios para regularizar la propiedad rural.</t>
  </si>
  <si>
    <r>
      <t>Porcentaje de conflictos sociales agrarios solucionados.</t>
    </r>
    <r>
      <rPr>
        <i/>
        <sz val="10"/>
        <color indexed="30"/>
        <rFont val="Soberana Sans"/>
        <family val="3"/>
      </rPr>
      <t xml:space="preserve">
Indicador Seleccionado</t>
    </r>
  </si>
  <si>
    <t>(Conflictos sociales agrarios solucionados / Total de conflictos sociales agrarios identificados en el País)*100</t>
  </si>
  <si>
    <r>
      <t>Porcentaje de beneficiarios satisfechos con la recepción de la contraprestación.</t>
    </r>
    <r>
      <rPr>
        <i/>
        <sz val="10"/>
        <color indexed="30"/>
        <rFont val="Soberana Sans"/>
        <family val="3"/>
      </rPr>
      <t xml:space="preserve">
</t>
    </r>
  </si>
  <si>
    <t>(Beneficiarios satisfechos en año actual / Beneficiarios satisfechos en el año anterior)*100.</t>
  </si>
  <si>
    <t>Estratégico-Calidad-Anual</t>
  </si>
  <si>
    <t>Componente</t>
  </si>
  <si>
    <t>A Contraprestación económica para la solución de lo conflictos agrarios, entregada.</t>
  </si>
  <si>
    <r>
      <t xml:space="preserve">Porcentaje de conflictos sociales agrarios resueltos con la entrega de una contraprestación económica. </t>
    </r>
    <r>
      <rPr>
        <i/>
        <sz val="10"/>
        <color indexed="30"/>
        <rFont val="Soberana Sans"/>
        <family val="3"/>
      </rPr>
      <t xml:space="preserve">
</t>
    </r>
  </si>
  <si>
    <t>(Conflictos agrarios resueltos con la entrega de una contraprestación económica / Conflictos sociales agrarios programados para su solución durante el ejercicio fiscal)*100.</t>
  </si>
  <si>
    <t>Gestión-Eficacia-Trimestral</t>
  </si>
  <si>
    <t>B Superficie de tierra para la solución de los conflictos sociales agrarios, trasmitida.</t>
  </si>
  <si>
    <r>
      <t>Porcentaje de conflictos sociales agrarios resueltos con la trasmisión de una superficie de tierra.</t>
    </r>
    <r>
      <rPr>
        <i/>
        <sz val="10"/>
        <color indexed="30"/>
        <rFont val="Soberana Sans"/>
        <family val="3"/>
      </rPr>
      <t xml:space="preserve">
</t>
    </r>
  </si>
  <si>
    <t>(Conflictos resueltos con la trasmisión de una superficie de tierra / Conflictos sociales agrarios programados para su solución durante el ejercicio fiscal )*100</t>
  </si>
  <si>
    <t>Actividad</t>
  </si>
  <si>
    <t>A 1 Recopilación de información de los antecedentes, actores e intereses en controversia de cada conflicto, con el fin de diseñar las estrategias de atención para asuntos que requieren en su solución de una contraprestación económica.</t>
  </si>
  <si>
    <r>
      <t>Porcentaje de diagnósticos de los conflictos sociales agrarios que requieren una contraprestación económica.</t>
    </r>
    <r>
      <rPr>
        <i/>
        <sz val="10"/>
        <color indexed="30"/>
        <rFont val="Soberana Sans"/>
        <family val="3"/>
      </rPr>
      <t xml:space="preserve">
</t>
    </r>
  </si>
  <si>
    <t>( Diagnósticos de los conflictos sociales agrarios / Conflictos sociales agrarios programados para su solución)*100.</t>
  </si>
  <si>
    <t>A 2 Integración de expedientes de conflictos que en su atención requieren de la entrega de una contraprestación económica, para ser presentados y en su caso, aprobados por el Comité.</t>
  </si>
  <si>
    <r>
      <t>Porcentaje de expedientes de los conflictos solucionados con una contraprestación económica.</t>
    </r>
    <r>
      <rPr>
        <i/>
        <sz val="10"/>
        <color indexed="30"/>
        <rFont val="Soberana Sans"/>
        <family val="3"/>
      </rPr>
      <t xml:space="preserve">
</t>
    </r>
  </si>
  <si>
    <t>(Expedientes debidamente integrados / Expedientes conflictos sociales agrarios programados para su solución)*100.</t>
  </si>
  <si>
    <t>B 3 Obtención de avalúos sobre el valor de las superficies de tierra en controversia, para la solución de los conflictos que requieren de la trasmisión de una superficie de tierra (Propiedad particular).</t>
  </si>
  <si>
    <r>
      <t>Porcentaje de avalúos obtenidos.</t>
    </r>
    <r>
      <rPr>
        <i/>
        <sz val="10"/>
        <color indexed="30"/>
        <rFont val="Soberana Sans"/>
        <family val="3"/>
      </rPr>
      <t xml:space="preserve">
</t>
    </r>
  </si>
  <si>
    <t>(Avalúos obtenidos / Conflictos sociales agrarios programados para su solución)*100</t>
  </si>
  <si>
    <t>B 4 Recopilación de información de antecedentes, actores e intereses en controversia de cada conflicto, con el fin de diseñar las estrategias de atención a los asuntos que requieren para su solución de la trasmisión de una superficie de tierra.</t>
  </si>
  <si>
    <r>
      <t>Porcentaje de diagnósticos de los conflictos sociales agrarios que requieren para su solución de la trasmisión de una superficie de tierra.</t>
    </r>
    <r>
      <rPr>
        <i/>
        <sz val="10"/>
        <color indexed="30"/>
        <rFont val="Soberana Sans"/>
        <family val="3"/>
      </rPr>
      <t xml:space="preserve">
</t>
    </r>
  </si>
  <si>
    <t>(Diagnósticos de los conflictos sociales agrarios / Conflictos sociales agrarios programados para su solución )*100.</t>
  </si>
  <si>
    <t>Gestión-Eficiencia-Trimestral</t>
  </si>
  <si>
    <t>B 5 Integración de expedientes de conflictos que en su atención requieren de una trasmisión de superficie de tierra, para ser presentados y en su caso, aprobados por el comité.</t>
  </si>
  <si>
    <r>
      <t>Porcentaje de expedientes integrados de los conflictos que requieren para su solución de la trasmisión de una superficie de tierra.</t>
    </r>
    <r>
      <rPr>
        <i/>
        <sz val="10"/>
        <color indexed="30"/>
        <rFont val="Soberana Sans"/>
        <family val="3"/>
      </rPr>
      <t xml:space="preserve">
</t>
    </r>
  </si>
  <si>
    <t>(Expedientes integrados de los conflictos resueltos con una trasmisión de una superficie de tierra / Expedientes de conflictos sociales agrarios programados para su solución )* 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</si>
  <si>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</si>
  <si>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</si>
  <si>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</si>
  <si>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</si>
  <si>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</si>
  <si>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</si>
  <si>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</si>
  <si>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</si>
  <si>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</si>
  <si>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 Porcentaje de superficie desactivada de conflictos sociales agrarios
</t>
    </r>
    <r>
      <rPr>
        <sz val="10"/>
        <rFont val="Soberana Sans"/>
        <family val="2"/>
      </rPr>
      <t xml:space="preserve"> Causa : Es menester hacer referencia, que uno de los principales obstáculos a los cuales se ha enfrentado la presente administración, para avanzar en la solución de los conflictos que atiende el Programa de mérito, ha sido la negativa y la tardía respuesta por parte de los involucrados en las controversias agrarias, quienes generalmente se muestran renuentes a su solución; así como en el incumplimiento de los requisitos que establecen los Lineamientos de Operación del Programa COSOMER, respecto de los asuntos comprendidos en el Acuerdo Nacional para el Campo.   Derivado de lo anterior y a fin de mejorar los mecanismos para la solución de los conflictos, se implementaron las siguientes estrategias: acercamiento con los involucrados para propiciar la credibilidad en las instituciones y al Programa; el respeto de usos y costumbres de las personas involucradas, para no violentar su disposición a la solución de los casos; asimismo se ha orientado y proporcionado asesoría a las organizaciones campesinas y a diversos sujetos agrarios, ofreciéndoles un valor justo sobre el pago de la tierra en conflicto (basado en los avalúos oficiales), además de dar una explicación de los beneficios ofrecidos por el Programa.  La indefinición de las atribuciones y facultades de las unidades administrativas, impactan en el funcionamiento de las dependencias del Sector Agrario, específicamente en las Delegaciones de la SEDATU, las cuales son las encargadas de operar el Programa en todo el país, teniendo el acercamiento directo con los afectados y son las mismas las encargadas de diagnosticar la problemática, integrar la documentación soporte, de cada caso, así como coadyuvar en la negociación de las ofertas institucionales, coordinándose con los gobiernos locales.   Efecto:  Con los resultados del ejercicio, se reporta la atención de una superficie que se encontraba en conflicto de 1,911 hectáreas, de las cuales 150 hectáreas, se localizan en el Estado de Chiapas, 154 hectáreas, en el Estado de Guanajuato, 367 hectáreas, en el Estado de Puebla, 344 hectáreas, en el Estado de Tabasco y 896 hectáreas, en el Estado de Veracruz, superficie en condiciones de ser regularizadas a favor de sus propietarios.   El resultado respecto de las 1,911 hectáreas que se reporta, representa un avance del 4.22% respecto a las 45,304 hectáreas programadas para el año 2013 y el 0.38% respecto a las estimadas en el Universo de Trabajo del Programa, que corresponden a 507,298 hectáreas.  La contribución de las acciones del Programa en la Cruzada Nacional contra el Hambre, es haber logrado desactivar de conflicto 616 hectáreas, 150 hectáreas, ubicadas en Palenque, Estado de Chiapas, 92 hectáreas, ubicadas en el Municipio de Huimanguillo, Estado de Tabasco y 262 hectáreas en el municipio de Tuxpan, en el Estado de Veracruz.   Así también, las repercusiones de estos resultados en zonas de influencia de Pueblos Indígenas, han sido las siguientes: 150 hectáreas, en Municipio Indígena, 1,010 hectáreas que habitan en Municipios con Presencia Indígena y 751 hectáreas en Municipios sin Presencia Indígena.   La reducción en el número de hectáreas (112) de 2,023 a 1,911, es superficie liberada de conflicto y susceptible de ser regularizada en el Registro Agrario Nacional.  Otros Motivos:Cabe hacer la aclaración que un asunto aprobado por el Comité del Programa en su Primera Sesión Ordinaria del 30 de abril de 2013, denominado Alfredo B. Bonfil en el Municipio de Playa Vicente (hoy Santiago Sochiapa) en el Estado de Veracruz y con un importe de $ 2´974,720.00, por orden judicial del Tribunal Unitario Agrario Distrito 40, se encuentra suspendida la entrega del recurso. Para que el TUA se pronunciara a la situación del caso se determinó la fecha del 17 de febrero de 2014. Después de solocitar formalmente información al respecto, aún no se tiene respuesta; por lo cual, para efectos de los resultados en los indicadores asociados con superficie liberada de conflicto y población beneficiada este caso ya no fue considerado. De acuerdo a lo anteriormente expuesto el presupuesto sustantivo ejercido fue de 57.3 millones de pesos. </t>
    </r>
  </si>
  <si>
    <r>
      <t xml:space="preserve">Población directamente beneficiada con la solución de los conflictos sociales agrarios.
</t>
    </r>
    <r>
      <rPr>
        <sz val="10"/>
        <rFont val="Soberana Sans"/>
        <family val="2"/>
      </rPr>
      <t xml:space="preserve"> Causa : Es menester hacer referencia, que uno de los principales obstáculos a los cuales se ha enfrentado la presente administración, para avanzar en la solución de los conflictos que atiende el Programa de mérito, ha sido la negativa y la tardía respuesta por parte de los involucrados en las controversias agrarias, quienes generalmente se muestran renuentes a su solución; así como en el incumplimiento de los requisitos que establecen los Lineamientos de Operación del Programa COSOMER, respecto de los asuntos comprendidos en el Acuerdo Nacional para el Campo.   Derivado de lo anterior y a fin de mejorar los mecanismos para la solución de los conflictos, se implementaron las siguientes estrategias: acercamiento con los involucrados para propiciar la credibilidad en las instituciones y el Programa; el respeto de usos y costumbres de las personas involucradas, para no violentar su disposición a la solución de los casos; asimismo se ha orientado y proporcionado asesoría a las organizaciones campesinas y a diversos sujetos agrarios, ofreciéndoles un valor justo sobre el pago de la tierra en conflicto (basado en los avalúos oficiales), además de dar una explicación de los beneficios ofrecidos por el Programa.  La indefinición de las atribuciones y facultades de las unidades administrativas, impactan en el funcionamiento de las dependencias del Sector Agrario, específicamente en las Delegaciones de la SEDATU, las cuales son las encargadas de operar el Programa en todo el país, teniendo el acercamiento directo con los afectados y son las mismas las encargadas de diagnosticar la problemática, integrar la documentación soporte, de cada caso, así como coadyuvar en la negociación de las ofertas institucionales, coordinándose con los gobiernos locales.   Efecto:  Con los resultados, se siguen generando las oportunidades para que en un futuro mediato, la tranquilidad y la armonía social retornen a las zonas que se encontraban en conflicto y pendientes de solución, circunstancias que beneficiarán a 1,495 personas, lo que equivale a pasar de un estatus de incertidumbre patrimonial al de certeza jurídica sobre sus propiedades, cambiando positivamente sus perspectivas de desarrollo. El avance registrado en 2013 corresponde a un 10.9 %, con relación a lo programado, que es de 13,664 personas beneficiadas, y el 2.90%, respecto a la población estimada en el Universo de Trabajo, afectada por los conflictos y que es de 51,580 personas.   Es relevante hacer referencia a la contribución del Programa en la Cruzada Nacional contra el Hambre, toda  vez que contribuyó a la solución de los conflictos, beneficiando a 49 habitantes del municipio de Palenque en el Estado de Chiapas, así como 29 personas que viven en el Municipio de Huimanguillo, Tabasco y 22 personas en el municipio de Tuxpan, Veracruz.   Así también, las repercusiones de estos resultados se dan en zonas con influencia de Pueblos Indígenas de la siguiente forma: 49 personas en Municipios Indígenas, 933 personas que habitan en Municipios con Presencia Indígena y 513 en Municipios sin Presencia Indígena.      Una reducción en el número de beneficiarios reportados de 1,699 a 1,495 personas. Otros Motivos:Cabe hacer la aclaración que un asunto aprobado por el Comité del Programa en su Primera Sesión Ordinaria del 30 de abril de 2013, denominado Alfredo B. Bonfil en el Municipio de Playa Vicente (hoy Santiago Sochiapa) en el Estado de Veracruz y con un importe de $ 2´974,720.00, por orden judicial del Tribunal Unitario Agrario Distrito 40, se encuentra suspendida la entrega del recurso. Para que el TUA se pronunciara a la situación del caso se determinó la fecha del 17 de febrero de 2014. Después de solicitar formalmente información al respecto, aún no se tiene respuesta; por lo cual, para efectos de los resultados en los indicadores asociados con superficie liberada de conflicto y población beneficiada este caso ya no fue considerado. De acuerdo a lo anteriormente expuesto el presupuesto sustantivo ejercido fue de 57.3 millones de pesos.</t>
    </r>
  </si>
  <si>
    <r>
      <t xml:space="preserve">Porcentaje de conflictos sociales agrarios solucionados.
</t>
    </r>
    <r>
      <rPr>
        <sz val="10"/>
        <rFont val="Soberana Sans"/>
        <family val="2"/>
      </rPr>
      <t xml:space="preserve"> Causa : Es menester hacer referencia, que uno de los principales obstáculos a los cuales se ha enfrentado la presente administración, para avanzar en la solución de los conflictos que atiende el Programa de mérito, ha sido la negativa y la tardía respuesta por parte de los involucrados en las controversias agrarias, quienes generalmente se muestran renuentes a su solución; así como en el incumplimiento de los requisitos que establecen los Lineamientos de Operación del Programa COSOMER, respecto de los asuntos comprendidos en el Acuerdo Nacional para el Campo.    Derivado de lo anterior y a fin de mejorar los mecanismos para la solución de los conflictos, se implementaron las siguientes estrategias: acercamiento con los involucrados para propiciar la credibilidad en las instituciones y el Programa; el respeto de usos y costumbres de las personas involucradas, para no violentar su disposición a la solución de los casos; asimismo se ha orientado y proporcionado asesoría a las organizaciones campesinas y a diversos sujetos agrarios, ofreciéndoles un valor justo sobre el pago de la tierra en conflicto (basado en los avalúos oficiales), además de dar una explicación de los beneficios ofrecidos por el Programa.    La indefinición de las atribuciones y facultades de las unidades administrativas, impactan en el funcionamiento de las dependencias del Sector Agrario, específicamente en las Delegaciones de la SEDATU, las cuales son las encargadas de operar el Programa en todo el país, teniendo el acercamiento directo con los afectados y son las mismas las encargadas de diagnosticar la problemática, integrar la documentación soporte, de cada caso, así como coadyuvar en la negociación de las ofertas institucionales, coordinándose con los gobiernos locales.  Efecto: Después de una importante la labor de sensibilización, negociación y debida integración de la documentación soporte, proceso que culminó con el cumplimiento de las formalidades establecidas en los Lineamientos de Operación del Programa, toda vez que cada caso, contó con la aprobación del Comité del Programa, siendo aprobados 19 asuntos, con un promedio de antigüedad de 22 años. El avance durante 2013 es del 15.8% del cumplimiento programado respecto a la meta anual de 120 y del 4.27% con relación al Universo de Trabajo, aprobado para el 2013, con 445 casos a resolver.   Los asuntos aprobados por el Comité del Programa se ubican en 9 entidades federativas que corresponden de la siguiente manera: 2 en el Estado de Chiapas, en los Municipios de Mapastepec y Palenque, 1 en Coahuila en el Municipio de Francisco I. Madero, 2 en Guanajuato en los Municipios de Dolores Hidalgo e Irapuato, 1 en el Estado de Hidalgo, Municipio de Santiago de Anaya, 1 en Michoacán en el Municipio de Villamar, 1 en Morelos ubicado en el Municipio de Tlaquiltenango, Puente de Ixtla, 2 en el Estado de Puebla en los Municipios de Tetela de Ocampo y Pantepec, 3 en Tabasco en los Municipios de Cárdenas, Huimanguillo y Tenosique, 6 en Veracruz en los Municipios de Vega de la Torre, Playa Vicente, Tuxpan, Tierra Blanca y Álamo Temapache.  Respecto de 8 asuntos, aprobados por el Comité del Programa, eran conflictos sociales agrarios y 11 se derivan del Acuerdo Nacional para el Campo. Por otra parte, el valor de las contraprestaciones para la solución de estos asuntos, ascendió a 60.3 millones de pesos. Siendo el presupuesto original, asignado al Programa de 506.5 millones de pesos y al cierre del presente  2013, el presupuesto modificado es de 121.0 millones de pesos. Otros Motivos:En la 5ta. Sesión Extraordinaria del Comité del Programa celebrada el 20 de diciembre de 2013, se aprobaron 8 asuntos cuya contraprestación económica será con cargo al presupuesto de 2014. Tomando en cuenta los 11 casos anteriores igualmente aprobados y reportados, se llegó a la aprobación de 19. Es hasta la Primera Sesión Ordinaria del Comité celebrada el 30 de enero de 2014, cuando se ratifica el acta de la sesión anterior ( 5ta. Sesión Extraordinaria del Comité del Programa celebrada el 20 de diciembre de 2013)., con lo cual se formalizan los acuerdo de este órgano colegiado.   Se avanzó en la aprobación de asuntos por parte del Comité del Programa, abatiendo la conflictividad social agraria que atiende el Programa, estos casos serán concluidos en el  año de 2014 con las repercusiones presupuestales, superficie liberada de conflicto y personas beneficiadas correspondientes.   Durante 2013, se logro concluir (entrega de la contraprestación a los beneficiarios) con 32 asuntos en 12 entidades federativas: Chiapas, Guanajuato, Puebla, Michoacán, Veracruz, Tabasco, Tamaulipas, Zacatecas, Jalisco, Oaxaca, Sonora y Estado de México, liberando de conflictividad una superficie de 13,834 hectáreas. Con estas acciones, se ha generado una derrama de recursos presupuestales por un monto de 204.2 millones de pesos, de los cuales 88.8 millones de pesos afectaron al presupuesto de 2013; 10 de esos asuntos fueron aprobados en este año por el Comité del Programa y 21 casos anteriores, igualmente aprobados, pero que representaban una complejidad jurídica para su solución definitiva han sido concluidos en la presente administración. U n asunto aprobado denominado Alfredo B. Bonfil en el Municipio de Playa Vicente en Veracruz, con un importe de $ 2´974,720.00, por una orden judicial del Tribunal Unitario Agrario Distrito 40, se encuentra suspendida la entrega del recurso.De acuerdo a lo anteriormente expuesto el presupuesto sustantivo ejercido fue de 57.3 millones de pesos.</t>
    </r>
  </si>
  <si>
    <r>
      <t xml:space="preserve">Porcentaje de beneficiarios satisfechos con la recepción de la contraprestación.
</t>
    </r>
    <r>
      <rPr>
        <sz val="10"/>
        <rFont val="Soberana Sans"/>
        <family val="2"/>
      </rPr>
      <t xml:space="preserve"> Causa : El estudio de la evaluación externa sobre el Programa de Atención a Conflictos Sociales en el Medio Rural, realizada para el ejercicio 2012, respecto a la satisfacción de los beneficiarios del Programa, la cual analizó dos indicadores; la satisfacción de los beneficiarios que resolvieron los conflictos sociales por la tierra con un 88.8 por ciento y la satisfacción de los beneficiarios, con la solución de asuntos del Acuerdo Nacional para el Campo, con un 72.2 por ciento, determinando el promedio, el cual nos arroja un 80.5 por ciento de satisfacción.  Efecto: El dato promedio que arroja el estudio de evaluación con base en la opinión de los beneficiarios del Programa, es de un 80.5 por ciento de satisfacción de los mismos. La meta considerada para este informe fue del 80.0 por ciento, lo que representa que la meta se cumplió en un 100 por ciento, esta información nos permite valorar las condiciones en que se abordaron los diversos asuntos para su solución y el trato que se tuvo con las personas involucradas en ellos, el nivel de satisfacción de los beneficiarios es fundamental para evitar que los conflictos se reactiven. Otros Motivos:</t>
    </r>
  </si>
  <si>
    <r>
      <t xml:space="preserve">Porcentaje de conflictos sociales agrarios resueltos con la entrega de una contraprestación económica. 
</t>
    </r>
    <r>
      <rPr>
        <sz val="10"/>
        <rFont val="Soberana Sans"/>
        <family val="2"/>
      </rPr>
      <t xml:space="preserve"> Causa : Es menester hacer referencia, que uno de los principales obstáculos a los cuales se ha enfrentado la presente administración, para avanzar en la solución de los conflictos que atiende el Programa de mérito, ha sido la negativa y la tardía respuesta por parte de los involucrados en las controversias agrarias, quienes generalmente se muestran renuentes a su solución; así como en el incumplimiento de los requisitos que establecen los Lineamientos de Operación del Programa COSOMER, respecto de los asuntos comprendidos en el Acuerdo Nacional para el Campo.   Derivado de lo anterior y a fin de mejorar los mecanismos para la solución de los conflictos, se implementaron las siguientes estrategias: acercamiento con los involucrados para propiciar la credibilidad en las instituciones y el Programa; el respeto de usos y costumbres de las personas involucradas, para no violentar su disposición a la solución de los casos; asimismo se ha orientado y proporcionado asesoría a las organizaciones campesinas y a diversos sujetos agrarios, ofreciéndoles un valor justo sobre el pago de la tierra en conflicto (basado en los avalúos oficiales), además de dar una explicación de los beneficios ofrecidos por el Programa.  Marco Interinstitucional: La indefinición de las atribuciones y facultades de las unidades administrativas, impactan en el funcionamiento de las dependencias del Sector Agrario, específicamente en las Delegaciones de la SEDATU, las cuales son las encargadas de operar el Programa en todo el país, teniendo el acercamiento directo con los afectados; y son las mismas, las encargadas de diagnosticar la problemática, integrar la documentación soporte de cada caso, así como coadyuvar en la negociación de las ofertas institucionales, coordinándose con los gobiernos locales.   Efecto:  De los 19 asuntos aprobados, 8 corresponden a conflictos sociales agrarios, 3 de ellos con un valor de 15.9 millones de pesos, cuya derrama incidió en los Estados de Veracruz con 15.3 millones de pesos y el Estado de Tabasco con 0.6 millones de pesos. El resultado, nos indica la frecuencia con que se utilizan los componentes del Programa, arrojando la información, con la que se puede evaluar posteriormente la erogación de recursos económicos y su aprovechamiento, según el uso y destino otorgado por los propios beneficiarios, el avance de este indicador en este periodo es del 10.1% respecto a la meta de 79 casos.   El comportamiento de este indicador, permite identificar el destino de los recursos públicos, que son entregados a los beneficiarios mediante la ratificación del Convenio Finiquito ante el Tribunal Unitario Agrario, así como dar seguimiento al avance para abatir con el rezago de la conflictividad agraria, identificado en el Universo de Trabajo 2013, integrado por 233 conflictos agrarios.   Se avanzó en la aprobación de asuntos por parte del Comité del Programa, abatiendo la conflictividad social agraria que atiende el Programa, estos casos serán concluidos en el  año de 2014 con las repercusiones presupuestales, superficie liberada de conflicto y personas beneficiadas correspondientes. Otros Motivos:En la 5ta. Sesión Extraordinaria del Comité del Programa celebrada el 20 de diciembre de 2013, se aprobaron 8 asuntos cuya contraprestación económica será con cargo al presupuesto de 2014. Tomando en cuenta los 11 casos anteriores igualmente aprobados y reportados, se llegó a la aprobación de 19. Es hasta la primera Sesión Ordinaria del Comité celebrada el 30 de enero de 2104, cuando se ratifica el acta de la sesión anterior (5ta. Sesión Extraordinaria del Comité del Programa celebrada el 20 de diciembre de 2013), con lo cual se formalizan los acuerdos. Para este indicador el avance fue con 4 casos mas.</t>
    </r>
  </si>
  <si>
    <r>
      <t xml:space="preserve">Porcentaje de conflictos sociales agrarios resueltos con la trasmisión de una superficie de tierra.
</t>
    </r>
    <r>
      <rPr>
        <sz val="10"/>
        <rFont val="Soberana Sans"/>
        <family val="2"/>
      </rPr>
      <t xml:space="preserve"> Causa : Es menester hacer referencia, que uno de los principales obstáculos a los cuales se ha enfrentado la presente administración, para avanzar en la solución de los conflictos que atiende el Programa de mérito, ha sido la negativa y la tardía respuesta por parte de los involucrados en las controversias agrarias, quienes generalmente se muestran renuentes a su solución; así como en el incumplimiento de los requisitos que establecen los Lineamientos de Operación del Programa COSOMER, respecto de los asuntos comprendidos en el Acuerdo Nacional para el Campo.   Derivado de lo anterior y a fin de mejorar los mecanismos para la solución de los conflictos, se implementaron las siguientes estrategias: acercamiento con los involucrados para propiciar la credibilidad en las instituciones y el Programa; el respeto de usos y costumbres de las personas involucradas, para no violentar su disposición a la solución de los casos; asimismo se ha orientado y proporcionado asesoría a las organizaciones campesinas y a diversos sujetos agrarios, ofreciéndoles un valor justo sobre el pago de la tierra en conflicto (basado en los avalúos oficiales), además de dar una explicación de los beneficios ofrecidos por el Programa.  La indefinición de las atribuciones y facultades de las unidades administrativas, impactan en el funcionamiento de las dependencias del Sector Agrario, específicamente en las Delegaciones de la SEDATU, las cuales son las encargadas de operar el Programa en todo el país, teniendo el acercamiento directo con los afectados y son las mismas las encargadas de diagnosticar la problemática, integrar la documentación soporte, de cada caso, así como coadyuvar en la negociación de las ofertas institucionales, coordinándose con los gobiernos locales.   Efecto: El comportamiento de este indicador, permite identificar la cantidad y destino de la superficie de tierra que es trasmitida a los beneficiarios mediante la suscripción de escrituras a favor de terceros ante Notario Público y el aprovechamiento de esta superficie trasmitida a los beneficiarios será identificado y evaluado, posteriormente mediante un estudio de evaluación externa, para este 2013, el avance acumulado de la meta fue de 11 casos que representando corresponde al 42.3% respecto del programado con 26 asuntos.  La superficie adquirida y trasmitida a los beneficiarios, durante 2013, fue de 1,242 hectáreas, ubicadas en los Estados de Chiapas, Guanajuato, Veracruz, Tabasco y Puebla, con un valor de 41.3 millones de pesos, estos asuntos estaban en el Acuerdo Nacional para el Campo, cuyo Universo de Trabajo en este año inició con 202 asuntos, éstos se solucionaron adquiriendo y trasmitiendo superficie de tierra a grupos de campesinos que la demandaban: 150 hectáreas, en el Estado de Chiapas, 154 hectáreas en el de Guanajuato, 367 hectáreas, en el Estado de Puebla; 235 hectáreas, en el Estado de Veracruz; 336 hectáreas, en el Estado de Tabasco.   Se avanzó en la aprobación de asuntos por parte del Comité del Programa, abatiendo la conflictividad social agraria que atiende el Programa, estos casos serán concluidos en el  año de 2014 con las repercusiones presupuestales, superficie liberada de conflicto y personas beneficiadas correspondientes. para efectos de este indicador se avanzó en 4 asuntos. Otros Motivos:En la 5ta. Sesión Extraordinaria del Comité del Programa celebrada el 20 de diciembre de 2013, se aprobaron 8 asuntos cuya contraprestación económica será con cargo al presupuesto de 2014. Tomando en cuenta los 11 casos anteriores igualmente aprobados y reportados, se llegó a la aprobación de 19. Es hasta la primera Sesión Ordinaria del Comité celebrada el 30 de enero de 2104, cuando se ratifica el acta de la sesión anterior (5ta. Sesión Extraordinaria del Comité del Programa celebrada el 20 de diciembre de 2013), con lo cual se formalizan los acuerdos. Para este indicador el incremento fue de 4 casos mas.</t>
    </r>
  </si>
  <si>
    <r>
      <t xml:space="preserve">Porcentaje de diagnósticos de los conflictos sociales agrarios que requieren una contraprestación económica.
</t>
    </r>
    <r>
      <rPr>
        <sz val="10"/>
        <rFont val="Soberana Sans"/>
        <family val="2"/>
      </rPr>
      <t xml:space="preserve"> Causa : Con motivo de la expedición del Decreto, publicado en el Diario Oficial de la Federación el 2 de enero de 2013, que reformó la Ley Orgánica de la Administración Pública Federal, por el cual se modificó la denominación de la Secretaría de Reforma Agraria, por Secretaría de Desarrollo Agrario, Territorial y Urbano; dando lugar a la expedición del Reglamento Interior de la Secretaría de Desarrollo Agrario, Territorial y Urbano, publicado en el mismo medio de difusión en mención, el 2 de abril de 2013, en el cual se establece la competencia y organización de la Secretaría; asimismo y por lo que compete a la Dirección General de Concertación Social, que opera el Programa identificado como E002, Atención a conflictos agrarios, Dirección General, la misma no cuenta con los Manuales de Organización y Procedimientos respectivos, situación que se encuentra supeditada hasta en tanto, sea modificado el vigente reglamento en cita y en consecuencia, la actualización de los Lineamientos de Operación del Programa de Atención a Conflictos Sociales en el Medio Rural, a fin de dar solución a los asuntos pendientes en el marco de la normatividad aplicable.  Esta situación de indefinición, de alguna forma impacta en el funcionamiento de las dependencias del Sector Agrario, específicamente el de las Delegaciones Estatales de la SEDATU, instancias encargadas de operar el Programa en todo el territorio nacional. Cabe mencionar que específicamente para efectos de los resultados del Programa, durante este proceso de cambios normativos y estructurales, se hace necesaria la definición puntual a y urgente. Por otro lado se ratifica la necesidad mejorar la cantidad de recursos presupuestales para materiales y equipo (cómputo, de medición y vehículos), destinados a la operación del Programa. Asimismo los Lineamientos de Operación del Programa, están siendo revisados para su actualización, documento normativo con el cual se espera contar a la brevedad durante este año de 2014.   Efecto: En 2013 se elaboraron 54 diagnósticos, cantidad acumulada que representa el 33.7 por ciento, de lo programado, el contar con la información suficiente y actualizada permite tener mejor panorama y visualizar previamente cada caso en particular y además el contexto de la problemática existente en el país, lográndose con ello determinar el grado de conflictividad por entidad federativa, estableciendo las estrategias de atención y solución de los conflictos, además de dar cumplimiento a los requisitos establecidos en los Lineamientos de Operación del Programa.   Otros Motivos:</t>
    </r>
  </si>
  <si>
    <r>
      <t xml:space="preserve">Porcentaje de expedientes de los conflictos solucionados con una contraprestación económica.
</t>
    </r>
    <r>
      <rPr>
        <sz val="10"/>
        <rFont val="Soberana Sans"/>
        <family val="2"/>
      </rPr>
      <t xml:space="preserve"> Causa : Con motivo de la expedición del Decreto, publicado en el Diario Oficial de la Federación el 2 de enero de 2013, que reformó la Ley Orgánica de la Administración Pública Federal, por el cual se modificó la denominación de la Secretaría de Reforma Agraria, por Secretaría de Desarrollo Agrario, Territorial y Urbano; dando lugar a la expedición del Reglamento Interior de la Secretaría de Desarrollo Agrario, Territorial y Urbano, publicado en el mismo medio de difusión en mención, el 2 de abril de 2013, en el cual se establece la competencia y organización de la Secretaría; asimismo y por lo que compete a la Dirección General de Concertación Social, que opera el Programa identificado como E002, Atención a conflictos agrarios, Dirección General, la misma no cuenta con los Manuales de Organización y Procedimientos respectivos, situación que se encuentra supeditada hasta en tanto, sea modificado el vigente reglamento en cita.   Esta situación de indefinición, de alguna forma impacta en el funcionamiento de las dependencias del Sector Agrario, específicamente el de las Delegaciones Estatales de la SEDATU, instancias encargadas de operar el Programa en todo el territorio nacional. Cabe mencionar que específicamente para efectos de los resultados del Programa, durante este proceso de cambios normativos y estructurales, se hace necesaria la definición puntual y urgente. Asimismo se ratifica la necesidad de mejorar la cantidad de recursos presupuestales para materiales y equipo (cómputo, de medición y vehículos), destinados a la operación del Programa. Asimismo los Lineamientos de Operación del Programa, están siendo revisados para su actualización, documento normativo con el cual se espera contar a la brevedad durante este año de 2014.    Efecto: El resultado acumulado y reportado en 2013, representa el avance en la integración de los expedientes correspondientes a conflictos sociales por tierra, que obran en poder de la Dirección de Conflictos de la Dirección General de Concertación Social y que en una primera etapa cumplieron con lo señalado en la norma, por lo que en su momento 8 fueron presentados al Comité del Programa, para su aprobación. De un total de 79 expedientes programados se integraron 8, lo que representó un avance del 10.1 por ciento.    Otros Motivos:</t>
    </r>
  </si>
  <si>
    <r>
      <t xml:space="preserve">Porcentaje de avalúos obtenidos.
</t>
    </r>
    <r>
      <rPr>
        <sz val="10"/>
        <rFont val="Soberana Sans"/>
        <family val="2"/>
      </rPr>
      <t xml:space="preserve"> Causa : La constante comunicación y reuniones de trabajo con representantes del Instituto de Administración y Avalúos de Bienes Nacionales, así como un puntual seguimiento a las solicitudes, representó la gestión oportuna de los avalúos solicitados, esto ha repercutido en la obtención de los avalúos de los asuntos correspondientes al Acuerdo Nacional para el Campo; asuntos que se encuentran en proceso de negociación para su solución. Esto se debe a que el personal responsable del Programa, se propuso contar con una cantidad suficiente de avalúos y con ello, contar oportunamente con los valores de la superficie en conflicto y así poder negociar las propuestas institucionales con los afectados por los conflictos. Efecto: Contar con una suficiente cantidad de avalúos, permite tener información fundamental en las negociaciones de los diversos casos y sobre el valor económico que representa la superficie de tierra en controversia, estableciendo las estrategias de atención y solución de los conflictos, además de dar cumplimiento a los requisitos establecidos en los Lineamientos de Operación del Programa y con ello, avanzar en los siguientes meses atendiendo y solucionando la conflictividad agraria, al mismo tiempo alcanzar las metas programadas.   La obtención de 54 avalúos en este año de 2013, representa un avance del 138.4 por ciento respecto de los 39 programados.  Otros Motivos:</t>
    </r>
  </si>
  <si>
    <r>
      <t xml:space="preserve">Porcentaje de diagnósticos de los conflictos sociales agrarios que requieren para su solución de la trasmisión de una superficie de tierra.
</t>
    </r>
    <r>
      <rPr>
        <sz val="10"/>
        <rFont val="Soberana Sans"/>
        <family val="2"/>
      </rPr>
      <t xml:space="preserve"> Causa : En la 5ta. Sesión Extraordinaria del Comité del Programa celebrada el 20 de diciembre de 2013, se aprobaron 8 asuntos cuya contraprestación económica será con cargo al presupuesto de 2014. Tomando en cuenta los 11 casos anteriores igualmente aprobados y reportados, se llegó a la aprobación de 19 casos. Efecto: Se avanzó en la aprobación de asuntos por parte del Comité del Programa, abatiendo la conflictividad social agraria que atiende el Programa, estos casos serán concluidos en el  año de 2014 con las repercusiones presupuestales, superficie liberada de conflicto y personas beneficiadas correspondientes. Para efectos de este indicador se avanzo en 4 diagnósticos más. Otros Motivos:</t>
    </r>
  </si>
  <si>
    <r>
      <t xml:space="preserve">Porcentaje de expedientes integrados de los conflictos que requieren para su solución de la trasmisión de una superficie de tierra.
</t>
    </r>
    <r>
      <rPr>
        <sz val="10"/>
        <rFont val="Soberana Sans"/>
        <family val="2"/>
      </rPr>
      <t xml:space="preserve"> Causa : Con motivo de la expedición del Decreto, publicado en el Diario Oficial de la Federación el 2 de enero de 2013, que reformó la Ley Orgánica de la Administración Pública Federal, por el cual se modificó la denominación de la Secretaría de Reforma Agraria, por Secretaría de Desarrollo Agrario, Territorial y Urbano; dando lugar a la expedición del Reglamento Interior de la Secretaría de Desarrollo Agrario, Territorial y Urbano, publicado en el mismo medio de difusión en mención, el 2 de abril de 2013, en el cual se establece la competencia y organización de la Secretaría; asimismo y por lo que compete a la Dirección General de Concertación Social, que opera el Programa identificado como E002, Atención a conflictos agrarios, Dirección General, la misma no cuenta con los Manuales de Organización y Procedimientos respectivos, situación que se encuentra supeditada hasta en tanto, sea modificado el vigente reglamento en cita y en consecuencia, la actualización de los Lineamientos de Operación del Programa de Atención a Conflictos Sociales en el Medio Rural, a fin de dar solución a los asuntos pendientes en el marco de la normatividad aplicable. Esta situación de indefinición, de alguna forma impacta en el funcionamiento de las dependencias del Sector Agrario, específicamente el de las Delegaciones Estatales de la SEDATU, instancias encargadas de operar el Programa en todo el territorio nacional. Cabe mencionar que específicamente para efectos de los resultados del Programa, durante este proceso de cambios normativos y estructurales, se hace necesaria la definición puntual a y urgente. Por otro lado se ratifica la necesidad mejorar la cantidad de recursos presupuestales para materiales y equipo (cómputo, de medición y vehículos), destinados a la operación del Programa. Asimismo los Lineamientos de Operación del Programa, están siendo revisados para su actualización, documento normativo con el cual se espera contar a la brevedad durante este año de 2014.  Efecto: El resultado acumulado y reportado en 2013, representa el avance en la integración de los expedientes correspondientes al Acuerdo Nacional para el Campo, que obran en poder de la Dirección de Conflictos de la Dirección General de Concertación Social, y que en una primera etapa cumplieron con lo señalado en la norma, por lo que en su momento fueron presentados al Comité del Programa para su aprobación 11. De un total de 26 expedientes programados se integraron 11, lo que representó un avance del 42.3 por ciento. Otros Motivos:</t>
    </r>
  </si>
  <si>
    <t>S048</t>
  </si>
  <si>
    <t>Programa Hábitat</t>
  </si>
  <si>
    <t>903-Unidad de Programas de Atención de la Pobreza Urbana</t>
  </si>
  <si>
    <t>2 - Desarrollo Social</t>
  </si>
  <si>
    <t>2 - Vivienda y Servicios a la Comunidad</t>
  </si>
  <si>
    <t>1 - Urbanización</t>
  </si>
  <si>
    <t>7 - Apoyo en zonas urbanas marginadas</t>
  </si>
  <si>
    <t>Contribuir al combate a la pobreza en las zonas urbanas con consentración de pobreza, mediante el mejoramiento del entorno urbano y las condiciones sociales en estas zonas.</t>
  </si>
  <si>
    <r>
      <t>Índice de disponibilidad de servicios básicos (agua, drenaje y electricidad) en los Polígonos Hábitat identificados.</t>
    </r>
    <r>
      <rPr>
        <i/>
        <sz val="10"/>
        <color indexed="30"/>
        <rFont val="Soberana Sans"/>
        <family val="3"/>
      </rPr>
      <t xml:space="preserve">
</t>
    </r>
  </si>
  <si>
    <t>(Porcentaje de viviendas con agua en el terreno + Porcentaje de viviendas con drenaje + Porcentaje de viviendas con electricidad) / 3</t>
  </si>
  <si>
    <t>Estratégico-Eficacia-Quinquenal</t>
  </si>
  <si>
    <t>N/A</t>
  </si>
  <si>
    <r>
      <t>Grado de satisfacción con condiciones sociales en los polígonos Hábitat intervenidos</t>
    </r>
    <r>
      <rPr>
        <i/>
        <sz val="10"/>
        <color indexed="30"/>
        <rFont val="Soberana Sans"/>
        <family val="3"/>
      </rPr>
      <t xml:space="preserve">
</t>
    </r>
  </si>
  <si>
    <t>(Porcentaje de hogares satisfechos con la convivencia entre los vecinos + porcentaje de hogares satisfechos con la convivencia dentro de la familia incluyendo violencia intrafamiliar + porcentaje de hogares satisfechos con la confianza y solidaridad entre los vecinos + porcentaje de hogares satisfechos con el desarrollo de las capacidades individuales de la familia + porcentaje de hogares satisfechos con la seguridad en su colonia + porcentaje de hogares satisfechos con la igualdad de derechos y oportunidades entre hombres y mujeres en la colonia + porcentaje de hogares satisfechos con la participación comunitaria + porcentaje de hogares satisfechos con las condiciones de salud de la familia)/8</t>
  </si>
  <si>
    <t>Punto</t>
  </si>
  <si>
    <t>Estratégico-Eficacia-Bianual</t>
  </si>
  <si>
    <r>
      <t>Disponibilidad de infraestructura urbana complementaria en los Polígonos Hábitat intervenidos</t>
    </r>
    <r>
      <rPr>
        <i/>
        <sz val="10"/>
        <color indexed="30"/>
        <rFont val="Soberana Sans"/>
        <family val="3"/>
      </rPr>
      <t xml:space="preserve">
</t>
    </r>
  </si>
  <si>
    <t>(Viviendas en calles con alumbrado público, guarniciones, banquetas y pavimento, incluyendo empedrado o adoquinado/ Total  de viviendas en los polígonos intervenidos) * 100</t>
  </si>
  <si>
    <t>Las zonas urbanas donde se concentra la pobreza mejoran sus condiciones fisicas y sociales</t>
  </si>
  <si>
    <r>
      <t>Porcentaje de polígonos Hábitat atendidos</t>
    </r>
    <r>
      <rPr>
        <i/>
        <sz val="10"/>
        <color indexed="30"/>
        <rFont val="Soberana Sans"/>
        <family val="3"/>
      </rPr>
      <t xml:space="preserve">
Indicador Seleccionado</t>
    </r>
  </si>
  <si>
    <t>(Número de Polígonos Hábitat atendidos en el año / Número de polígonos identificados) * 100</t>
  </si>
  <si>
    <t>Polígonos</t>
  </si>
  <si>
    <r>
      <t>Grado de satisfacción con condiciones físicas del entorno urbano en polígonos hábitat intervenidos</t>
    </r>
    <r>
      <rPr>
        <i/>
        <sz val="10"/>
        <color indexed="30"/>
        <rFont val="Soberana Sans"/>
        <family val="3"/>
      </rPr>
      <t xml:space="preserve">
</t>
    </r>
  </si>
  <si>
    <t>(Porcentaje de hogares satisfechos con las vías de acceso a su colonia + Porcentaje de hogares satisfechos con la pavimentación de las calles de su colonia + Porcentaje de hogares satisfechos con las baquetas y guarniciones de su colonia + Porcentaje de hogares satisfechos con el alumbrado público de su colonia + Porcentaje de hogares satisfechos con el aspecto de la colonia) / 5</t>
  </si>
  <si>
    <r>
      <t>Hogares beneficiados</t>
    </r>
    <r>
      <rPr>
        <i/>
        <sz val="10"/>
        <color indexed="30"/>
        <rFont val="Soberana Sans"/>
        <family val="3"/>
      </rPr>
      <t xml:space="preserve">
Indicador Seleccionado</t>
    </r>
  </si>
  <si>
    <t>Numero de hogares beneficiados en el año</t>
  </si>
  <si>
    <t>Hogar</t>
  </si>
  <si>
    <r>
      <t>Manzanas atendidas con redes de servicios básicos y obras de infraestructura complementaria</t>
    </r>
    <r>
      <rPr>
        <i/>
        <sz val="10"/>
        <color indexed="30"/>
        <rFont val="Soberana Sans"/>
        <family val="3"/>
      </rPr>
      <t xml:space="preserve">
</t>
    </r>
  </si>
  <si>
    <t>Número de manzanas atendidas con redes de servicios básicos (agua, drenaje y electricidad) y obras de infraestructura complementaria (alumbrado público, guarniciones, banquetas y recubrimiento de calles) desde 2004</t>
  </si>
  <si>
    <t>Manzanas</t>
  </si>
  <si>
    <t>Estratégico-Eficacia-Anual</t>
  </si>
  <si>
    <r>
      <t>Grado de satisfacción de los beneficiarios con acciones de capacitación</t>
    </r>
    <r>
      <rPr>
        <i/>
        <sz val="10"/>
        <color indexed="30"/>
        <rFont val="Soberana Sans"/>
        <family val="3"/>
      </rPr>
      <t xml:space="preserve">
</t>
    </r>
  </si>
  <si>
    <t>Satisfacción promedio de los beneficiarios que participaron en acciones de capacitación en el año, a partir de 4 dimensiones: Utilidad del curso, taller o tutoría; Capacidad del instructor;  Calidad del material utilizado; y Estado de las instalaciones y el equipo</t>
  </si>
  <si>
    <t>A Infraestructura, equipamiento y entorno urbano, mejorados</t>
  </si>
  <si>
    <r>
      <t xml:space="preserve">Vialidades construidas </t>
    </r>
    <r>
      <rPr>
        <i/>
        <sz val="10"/>
        <color indexed="30"/>
        <rFont val="Soberana Sans"/>
        <family val="3"/>
      </rPr>
      <t xml:space="preserve">
Indicador Seleccionado</t>
    </r>
  </si>
  <si>
    <t>Número de metros cuadrados de vialidades construidas en el año</t>
  </si>
  <si>
    <t>Metro cuadrado</t>
  </si>
  <si>
    <r>
      <t xml:space="preserve">Proyectos apoyados para el saneamiento del entorno </t>
    </r>
    <r>
      <rPr>
        <i/>
        <sz val="10"/>
        <color indexed="30"/>
        <rFont val="Soberana Sans"/>
        <family val="3"/>
      </rPr>
      <t xml:space="preserve">
</t>
    </r>
  </si>
  <si>
    <t>Número de proyectos apoyados para la introducción de equipo y mobiliario para la recolección de residuos sólidos en las zonas de actuación del Programa y para la instalación o fortalecimiento de sistemas para la recolección, reciclaje y disposición final de residuos sólidos y para el saneamiento del agua en el año</t>
  </si>
  <si>
    <t>Proyecto</t>
  </si>
  <si>
    <t>Estratégico-Eficiencia-Trimestral</t>
  </si>
  <si>
    <r>
      <t>Centros de Desarrollo Comunitario apoyados</t>
    </r>
    <r>
      <rPr>
        <i/>
        <sz val="10"/>
        <color indexed="30"/>
        <rFont val="Soberana Sans"/>
        <family val="3"/>
      </rPr>
      <t xml:space="preserve">
Indicador Seleccionado</t>
    </r>
  </si>
  <si>
    <t>Número de centros de desarrollo comunitario construidos, mejorados y/o equipados en el año</t>
  </si>
  <si>
    <t>Centro</t>
  </si>
  <si>
    <r>
      <t>Redes de servicios básicos apoyadas</t>
    </r>
    <r>
      <rPr>
        <i/>
        <sz val="10"/>
        <color indexed="30"/>
        <rFont val="Soberana Sans"/>
        <family val="3"/>
      </rPr>
      <t xml:space="preserve">
Indicador Seleccionado</t>
    </r>
  </si>
  <si>
    <t xml:space="preserve">  Número de metros lineales de redes de agua potable, drenaje y electricidad introducidas o mejoradas en el año  </t>
  </si>
  <si>
    <t>Metro lineal</t>
  </si>
  <si>
    <r>
      <t>Proyectos para la prevención y mitigación de riesgos originados por fenómenos naturales</t>
    </r>
    <r>
      <rPr>
        <i/>
        <sz val="10"/>
        <color indexed="30"/>
        <rFont val="Soberana Sans"/>
        <family val="3"/>
      </rPr>
      <t xml:space="preserve">
</t>
    </r>
  </si>
  <si>
    <t>Número de proyectos apoyados para la prevención y mitigación de riesgos originados por fenómenos naturales en el año</t>
  </si>
  <si>
    <r>
      <t>Redes de alumbrado público apoyadas</t>
    </r>
    <r>
      <rPr>
        <i/>
        <sz val="10"/>
        <color indexed="30"/>
        <rFont val="Soberana Sans"/>
        <family val="3"/>
      </rPr>
      <t xml:space="preserve">
</t>
    </r>
  </si>
  <si>
    <t>Número de luminarias introducidas o mejoradas en el año</t>
  </si>
  <si>
    <t>Luminaria</t>
  </si>
  <si>
    <t>B Acciones para el desarrollo social y comunitario, realizadas</t>
  </si>
  <si>
    <r>
      <t>Porcentaje de proyectos para promover la igualdad entre hombres y mujeres</t>
    </r>
    <r>
      <rPr>
        <i/>
        <sz val="10"/>
        <color indexed="30"/>
        <rFont val="Soberana Sans"/>
        <family val="3"/>
      </rPr>
      <t xml:space="preserve">
</t>
    </r>
  </si>
  <si>
    <t xml:space="preserve">(Número de proyectos para el desarrollo de capacidades individuales, prevención de la violencia y promoción de la equidad de género, realizadas en el año / total de proyectos de la modalidad de desarrollo social y comunitario) *100 </t>
  </si>
  <si>
    <r>
      <t>Proyectos para fomentar la organización y participación comunitaria</t>
    </r>
    <r>
      <rPr>
        <i/>
        <sz val="10"/>
        <color indexed="30"/>
        <rFont val="Soberana Sans"/>
        <family val="3"/>
      </rPr>
      <t xml:space="preserve">
</t>
    </r>
  </si>
  <si>
    <t>Número de proyectos para la organización y participación comunitaria realizados en el año</t>
  </si>
  <si>
    <t>Estratégico-Economía-Trimestral</t>
  </si>
  <si>
    <r>
      <t>Porcentaje de mujeres beneficiadas con acciones para el desarrollo social y comunitario</t>
    </r>
    <r>
      <rPr>
        <i/>
        <sz val="10"/>
        <color indexed="30"/>
        <rFont val="Soberana Sans"/>
        <family val="3"/>
      </rPr>
      <t xml:space="preserve">
Indicador Seleccionado</t>
    </r>
  </si>
  <si>
    <t xml:space="preserve">  (Número de mujeres beneficiadas con acciones para el desarrollo social y comunitario en el año / Total de personas beneficiadas con acciones para el desarrollo social y comunitario en el año) * 100</t>
  </si>
  <si>
    <t>C Capacidades para la planeación y gestión del desarrollo social y urbano de los gobiernos locales, fortalecidas</t>
  </si>
  <si>
    <r>
      <t xml:space="preserve">Proyectos para la planeación del desarrollo urbano y el ordenamiento territorial </t>
    </r>
    <r>
      <rPr>
        <i/>
        <sz val="10"/>
        <color indexed="30"/>
        <rFont val="Soberana Sans"/>
        <family val="3"/>
      </rPr>
      <t xml:space="preserve">
</t>
    </r>
  </si>
  <si>
    <t>Número de proyectos apoyados para la elaboración o actualización de planes de desarrollo urbano y programas de ordenamiento territorial en el año</t>
  </si>
  <si>
    <r>
      <t>Proyectos apoyados para fortalecer instancias locales de planeación y gestión del desarrollo social y urbano</t>
    </r>
    <r>
      <rPr>
        <i/>
        <sz val="10"/>
        <color indexed="30"/>
        <rFont val="Soberana Sans"/>
        <family val="3"/>
      </rPr>
      <t xml:space="preserve">
</t>
    </r>
  </si>
  <si>
    <t>Número de proyectos para la instalación o fortalecimiento de observatorios urbanos locales e institutos municipales de planeación  en el año</t>
  </si>
  <si>
    <t>D Sitios y centros históricos inscritos en la lista del Patrimonio Mundial de la UNESCO, apoyados.</t>
  </si>
  <si>
    <r>
      <t>Promedio de proyectos por ciudad para apoyar sitios y centros históricos inscritos en la lista del Patrimonio Mundial de la UNESCO</t>
    </r>
    <r>
      <rPr>
        <i/>
        <sz val="10"/>
        <color indexed="30"/>
        <rFont val="Soberana Sans"/>
        <family val="3"/>
      </rPr>
      <t xml:space="preserve">
</t>
    </r>
  </si>
  <si>
    <t>Número de proyectos para la protección, conservación o revitalización de los sitios y centros históricos inscritos en la lista del Patrimonio Mundial de la UNESCO apoyados en el año/ Número de ciudades con sitios y centros históricos inscritos en la lista del Patrimonio Mundial de la UNESCO</t>
  </si>
  <si>
    <t>Promedio</t>
  </si>
  <si>
    <t>A 1 Promoción del Mejoramiento del Entorno Urbano</t>
  </si>
  <si>
    <r>
      <t>Porcentaje de Polígonos atendidos con proyectos para el mejoramiento del entorno urbano</t>
    </r>
    <r>
      <rPr>
        <i/>
        <sz val="10"/>
        <color indexed="30"/>
        <rFont val="Soberana Sans"/>
        <family val="3"/>
      </rPr>
      <t xml:space="preserve">
</t>
    </r>
  </si>
  <si>
    <t>Número de Polígonos atendidos con obras y acciones para la introducción o mejoramiento de infraestructura urbana y social básica, el mejoramiento del entorno natural, el saneamiento del entorno y la prevención y mitigación de riesgos / Total de Polígonos atendidos) * 100</t>
  </si>
  <si>
    <t>B 2 Promoción del Desarrollo social y Comunitario</t>
  </si>
  <si>
    <r>
      <t xml:space="preserve">Porcentaje de Polígonos atendidos con proyectos para el desarrollo social y comunitario </t>
    </r>
    <r>
      <rPr>
        <i/>
        <sz val="10"/>
        <color indexed="30"/>
        <rFont val="Soberana Sans"/>
        <family val="3"/>
      </rPr>
      <t xml:space="preserve">
</t>
    </r>
  </si>
  <si>
    <t>Número de Polígonos atendidos con proyectos para la organización y participación comunitaria, el desarrollo de las capacidades individuales, la promoción de la equidad de género y la prevención social / Total de Polígonos atendidos) * 100</t>
  </si>
  <si>
    <r>
      <t>Porcentaje de Polígonos atendidos que cuentan con comités de contraloría social  Actividad Transversal para los cuatro componentes</t>
    </r>
    <r>
      <rPr>
        <i/>
        <sz val="10"/>
        <color indexed="30"/>
        <rFont val="Soberana Sans"/>
        <family val="3"/>
      </rPr>
      <t xml:space="preserve">
</t>
    </r>
  </si>
  <si>
    <t>(Número de Polígonos atendidos en el año que cuentan con comités de contraloría social / Número de Polígonos atendidos en el año) * 100</t>
  </si>
  <si>
    <t>Gestión-Eficacia-Anual</t>
  </si>
  <si>
    <r>
      <t>Firma de acuerdos de coordinación con las autoridades locales</t>
    </r>
    <r>
      <rPr>
        <i/>
        <sz val="10"/>
        <color indexed="30"/>
        <rFont val="Soberana Sans"/>
        <family val="3"/>
      </rPr>
      <t xml:space="preserve">
</t>
    </r>
  </si>
  <si>
    <t xml:space="preserve">  Número de acuerdos de coordinación firmados con las autoridades locales </t>
  </si>
  <si>
    <t>Documento</t>
  </si>
  <si>
    <t>C 3 Promoción del Desarrollo Urbano</t>
  </si>
  <si>
    <r>
      <t>Porcentaje de Municipios apoyados con proyectos para la promocion del desarrollo urbano</t>
    </r>
    <r>
      <rPr>
        <i/>
        <sz val="10"/>
        <color indexed="30"/>
        <rFont val="Soberana Sans"/>
        <family val="3"/>
      </rPr>
      <t xml:space="preserve">
</t>
    </r>
  </si>
  <si>
    <t>Número municipios apoyados con proyectos para la planeación y gestión del desarrollo social y urbano / Total de Municipios atendidos) * 100</t>
  </si>
  <si>
    <t>D 4 Conservación de sitios y centros históricos inscritos en la lista del Patrimonio Mundial de la UNESCO</t>
  </si>
  <si>
    <r>
      <t>Recursos federales y locales  destinados a sitios y centros históricos inscritos en la lista del patrimonio mundial de la UNESCO</t>
    </r>
    <r>
      <rPr>
        <i/>
        <sz val="10"/>
        <color indexed="30"/>
        <rFont val="Soberana Sans"/>
        <family val="3"/>
      </rPr>
      <t xml:space="preserve">
</t>
    </r>
  </si>
  <si>
    <t>Suma de recursos federales y locales destinados a protección , conservación y revitalización de los sitios y centros históricos inscritos en la lista del patrimonio mundial de la UNESCO ejercidos en el año</t>
  </si>
  <si>
    <t>Pesos</t>
  </si>
  <si>
    <t>Gestión-Economía-Trimestral</t>
  </si>
  <si>
    <r>
      <t xml:space="preserve">Porcentaje de polígonos Hábitat atendidos
</t>
    </r>
    <r>
      <rPr>
        <sz val="10"/>
        <rFont val="Soberana Sans"/>
        <family val="2"/>
      </rPr>
      <t xml:space="preserve"> Causa : La Secretaría de Desarrollo Agrario, Territorial y Urbano, a través del Programa Hábitat, estableció para 2013 el indicador estratégico ¿Polígonos Hábitat atendidos¿, a fin de continuar atendiendo con eficacia a la población objetivo del Programa. La meta original se calculó en el mes de diciembre del 2012. Para el ejercicio fiscal 2013 la meta modificada se estimó considerando lo realizado en el ejercicio fiscal 2012 quedando una meta de 1,153 Polígonos a atender,  sin embargo, al final del ejercicio, se atendió un total de 1,376 Polígonos Hábitat, constituidos por zonas urbanas en las que se presenta mayor concentración de hogares en situación de pobreza, lo que represento un 99.85% de la meta original  y un 119.27  por ciento de la meta modificada. Este comportamiento se explica principalmente por lo siguiente: A la fecha del reporte se presentaron más proyectos que los estimados, esto debido a que la inversión promedio federal por polígono fue menor a la registrada en el 2012, lo cual permitio atender más polígonos con el monto presupuestado.     El avance se calculó con el pre cierre al 20 de febrero del 2014. Efecto: Hábitat es un programa que promueve el desarrollo urbano, para contribuir a mejorar la calidad de vida de los habitantes de zonas urbanas en las que se presenta pobreza y rezagos en infraestructura y servicios urbanos, ubicados en ciudades de al menos 15 mil habitantes. A través de las intervenciones del Programa Hábitat se realizó una contribución a la superación de la pobreza y al mejoramiento de la calidad de vida de los habitantes de zonas urbanas. Con la ejecución de obras y acciones financiadas con recursos de este Programa, durante el ejercicio fiscal del 2013, el Programa Hábitat atendió a 1, 376 polígonos, distribuidos en las 31 entidades federativas y el Distrito Federal. Del total de polígonos atendidos correspondieron a Aguascalientes 22; Baja California 45; Baja California Sur 16; Campeche 18; Coahuila 64; Colima 31; Chiapas 38; Chihuahua 70; Distrito Federal 2; Durango 31; Guanajuato 56; Guerrero 43; Hidalgo 55; Jalisco 66; México 101; Michoacán 64; Morelos 37; Nayarit 35; Nuevo León 45; Oaxaca 29; Puebla 75; Querétaro 31; Quintana Roo 32; San Luis Potosí 58; Sinaloa 23; Sonora 53; Tabasco 32; Tamaulipas 65; Tlaxcala 13; Veracruz 47; Yucatán 40 y Zacatecas 39, beneficiando a los integrantes de 1.2 millones de hogares de 254 ciudades de todo el país, ubicadas en 352 municipios y delegaciones políticas del Distrito Federal. Con los recursos de este programa, se promueve el desarrollo de capacidades individuales y comunitarias y el mejoramiento del entorno urbano en los Otros Motivos:</t>
    </r>
  </si>
  <si>
    <r>
      <t xml:space="preserve">Hogares beneficiados
</t>
    </r>
    <r>
      <rPr>
        <sz val="10"/>
        <rFont val="Soberana Sans"/>
        <family val="2"/>
      </rPr>
      <t xml:space="preserve"> Causa : La Secretaría de Desarrollo Agrario, Territorial y Urbano, a través del Programa Hábitat, estableció para 2013 el indicador estratégico ¿Hogares beneficiados¿, a fin de continuar atendiendo con eficacia a la población objetivo del Programa.  La meta original se calculó en diciembre de 2012. Para el ejercicio fiscal 2013 la meta modificada se estimó considerando lo realizado en el ejercicio fiscal 2012 quedando una meta de 1,425,565, sin embargo, el resultado del indicador quedo por debajo en un 30.65 por ciento de la meta original y un 12.38 por ciento de la meta modificada, esto debido a que se desarrollaron proyectos en zonas con menor densidad de población atendiendo a un total de 1,249,025. Este comportamiento se explica principalmente por lo siguiente: Los proyectos son propuestos por las instancias ejecutoras a la SEDATU, considerando que los subsidios federales son complementados con recursos financieros aportados por los gobiernos locales y que los municipios son los principales ejecutores de las obras y acciones financiadas por este Programa. Los proyectos son elaborados con base en las demandas comunitarias.      El avance se calculó con el pre cierre al 20 de febrero del 2014. Efecto: Hábitat es un programa que promueve el desarrollo urbano, para contribuir a mejorar la calidad de vida de los habitantes de zonas urbanas en las que se presenta pobreza y rezagos en infraestructura y servicios urbanos, ubicados en ciudades de al menos 15 mil habitantes. A través de las intervenciones del Programa Hábitat se realizó una contribución a la superación de la pobreza y al mejoramiento de la calidad de vida de los habitantes de zonas urbanas. Con la ejecución de obras y acciones financiadas con recursos de este Programa, durante el ejercicio fiscal del 2013, el Programa Hábitat atendió a 1,249,025 hogares, distribuidos en las 31 entidades federativas y el Distrito Federal. Del total de hogares atendidos correspondieron a Aguascalientes 24,094; Baja California 18,855; Baja California Sur 38,538; Campeche 20,151; Coahuila 30,419; Colima 23,820; Chiapas 72,045; Chihuahua 32,097; Distrito Federal 2,433; Durango 25,103; Guanajuato 61,394; Guerrero 78,562; Hidalgo 26,002; Jalisco 46,611; México 126,632; Michoacán 52,585; Morelos 40,569; Nayarit 25,843; Nuevo León 51,994; Oaxaca 30,644; Puebla 75,159; Querétaro 25,882; Quintana Roo 30,494; San Luis Potosí 27,066; Sinaloa 15,160; Sonora 35,323; Tabasco 20,131; Tamaulipas 62,767; Tlaxcala 16,017; Veracruz 45,379; Yucatán 39,373 y Zacatecas 27,883; beneficiando a los integrantes de 1.2 millones de hogares de 254 ciudades de todo el país, ubicadas en 352 municipios y delegaciones políticas del Distrito Federal. Con los recursos de este programa, se promueve el desarrollo de capacidades individuales y comunitarias y el mejoramiento del entorno urbano en los Polígonos Hábitat. Otros Motivos:</t>
    </r>
  </si>
  <si>
    <r>
      <t xml:space="preserve">Manzanas atendidas con redes de servicios básicos y obras de infraestructura complementaria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se estimó la meta modificada de 118,863 manzanas a atender con redes de servicios básicos y obras de infraestructura complementaria, sin embargo, se presentó una mayor demanda de los municipios para la introducción o mejoramiento de este tipo de servicios, quedando en un 2.38 por ciento por arriba de la meta original y un 2.96 por ciento de la modificada,  atendiendo un total de 122,386 manzanas.     El avance se calculó con el pre cierre al 20 de febrero del 2014. Efecto: Con este indicador se muestra que  a través de Hábitat, se cumplió con dotar de más y mejores redes de servicios básicos y obras de infraestructura complementaria a la población asentada en las zonas de actuación del Programa, ubicados en ciudades de al menos 15 mil habitantes. Entre estos proyectos, 831 fueron para la instalación de servicios urbanos básicos en 63,843 hogares, con la introducción o mejoramiento de 629,875 metros lineales de redes de agua potable, drenaje y electricidad; 262 para la colocación de 14,369 luminarias, 2,538 obras para la construcción de 3.7 millones de metros cuadrados de vialidades que comunican y favorecen la movilidad de las personas. Lo anterior, derivó en una contribución a la superación de la pobreza y al mejoramiento de la calidad de vida de los habitantes de zonas urbanas, al mejorar el entorno urbano de dichos asentamientos. Otros Motivos:</t>
    </r>
  </si>
  <si>
    <r>
      <t xml:space="preserve">Grado de satisfacción de los beneficiarios con acciones de capacitación
</t>
    </r>
    <r>
      <rPr>
        <sz val="10"/>
        <rFont val="Soberana Sans"/>
        <family val="2"/>
      </rPr>
      <t xml:space="preserve"> Causa : Para el ejercicio fiscal 2013 la meta se estimó considerando que el 90 por ciento de los beneficiarios con acciones de capacitación se encontraran satisfechos con los siguientes temas: "Evaluación del profesor (Conocimiento y dominio del tema, Cumplimiento con el objetivo y Aclaración de dudas), Curso, taller o tutoría (Aplicar lo aprendido en la vida cotidiana, Duración de las clases o sesiones y Cumplimiento con sus expectativas) Calificación del material didáctico utilizados en los cursos, taller o tutoría (Material didáctico, insumos o materias primas), Evaluación de las Instalaciones (Ambientación y el lugar), respecto del total de beneficiarios que respondieron el Anexo A de la Cédula de Proyectos Hábitat, Actualmente se encuentran registrados  405,097 beneficiarios que respondieron el Anexo A de la Cédula de Proyectos Hábitat  en donde se puede mostrar que el 93.88  de los beneficiarios con acciones de capacitación opinan que el Instructor, el Curso, taller o tutoría, el Material, insumos o materias primas y las Instalaciones son de excelente y de buena calidad, por lo que el resultado del indicador se rebasó en un 4.3 por ciento.         El avance se calculó con el precierre al 20 de febrero del 2014. Efecto:  Con este indicador se muestra que a través de las intervenciones de hábitat, se logró una atención más integral a la población objetivo del Programa, y particularmente a las personas que se beneficiaron con las acciones para el desarrollo social y comunitario instrumentadas por Hábitat dentro de los Centros de Desarrollo Comunitario. En el ejercicio fiscal 2013 en materia de formación de habilidades y del fomento a las opciones de ocupación, Hábitat apoyó 6,952 proyectos, entre las acciones financiadas se encuentra la impartición de cursos, talleres y tutorías para desarrollar sus capacidades y habilidades, en diversas materias que contribuyen al desarrollo individual y comunitario. Lo anterior, derivó en una contribución a la superación de la pobreza y al mejoramiento de la calidad de vida de los habitantes de zonas urbanas Otros Motivos:</t>
    </r>
  </si>
  <si>
    <r>
      <t xml:space="preserve">Vialidades construidas 
</t>
    </r>
    <r>
      <rPr>
        <sz val="10"/>
        <rFont val="Soberana Sans"/>
        <family val="2"/>
      </rPr>
      <t xml:space="preserve"> Causa : La Secretaría de Desarrollo Agrario, Territorial y Urbano, a través del Programa Hábitat, estableció para 2013 el indicador estratégico ¿Vialidades Construidas¿, a fin de atender con eficacia a la población objetivo del Programa, mediante el mejoramiento de las condiciones físicas de las zonas urbanas. Para el ejercicio fiscal 2013 se apoyó la pavimentación, construcción y mejoramiento de vialidades por un total de 3,765,503 metros cuadrados, lo que significó un cumplimiento del 79.36 por ciento de la meta original y un 92.02 por ciento de la meta modificada. Este comportamiento se explica principalmente por lo siguiente: Los proyectos son propuestos por las instancias ejecutoras a la SEDATU, considerando que los subsidios federales son complementados con recursos financieros aportados por los gobiernos locales y que los municipios son los principales ejecutores de las obras y acciones financiadas por este Programa. Los proyectos son elaborados con base en las demandas comunitarias.  Los gobiernos locales presentaron a la SEDATU propuestas para la construcción, ampliación o mejoramiento de metros cuadrados de pavimentación, construcción y mejoramiento de vialidades en un número menor que lo programado, esto debido a que los ejecutores solicitaron apoyos para otras líneas de acción de la modalidad de mejoramiento del entorno urbano, tales como: redes de servicios básicos, centros de desarrollo comunitario, mejoramiento del entorno natural en las zonas de actuación, prevención y mitigación de riesgos de desastre natural, saneamiento del entorno urbano, entre otros.     El avance se calculó con el pre cierre al 20 de febrero del 2014.     Efecto: Con este indicador se muestra que  a través de las intervenciones de Hábitat, se contribuyó a dotar de infraestructura social básica a la población objetivo del Programa. El Programa Hábitat financió durante el ejercicio fiscal del 2013, la construcción de 3´765,503 m2 de pavimentación y mejoramiento de vialidades en las 31 entidades federativas. Del total de metros cuadrados de pavimentación, correspondieron a Aguascalientes 2,738; Baja California 9,731; Baja California Sur 45,008; Campeche 83,596; Coahuila 145,412; Colima 88,134; Chiapas 201,403; Chihuahua 64,640; Durango 122,185; Guanajuato 120,468; Guerrero 208,273; Hidalgo 99,405; Jalisco 179,961; México 254,608; Michoacán 169,805; Morelos 128,644; Nayarit 46,105; Nuevo León 67,687; Oaxaca 129,660; Puebla 347,146; Querétaro 40,372; Quintana Roo 90,870; San Luis Potosí 122,012; Sinaloa 42,500; Sonora 117,191; Tabasco 55,787; Tamaulipas 242,571; Tlaxcala 98,701; Veracruz 156,239; Yucatán 184,467 y Zacatecas 100,185.     Lo anterior, derivó en una contribución a la superación de la pobreza y al mejoramiento de la calidad de vida de los habitantes de zonas urbanas, al mejorar el entorno urbano de dichos asentamientos.  Otros Motivos:</t>
    </r>
  </si>
  <si>
    <r>
      <t xml:space="preserve">Proyectos apoyados para el saneamiento del entorno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modificada se estimó considerando lo realizado en el ejercicio fiscal 2012, sin embargo, el resultado del indicador  fue de 78 proyectos aprobados lo que represento un 118 por ciento de la meta original y un 134.48 por ciento de la meta modificada, esto se debe principalmente a que las autoridades locales presentaron más proyectos para esta línea de acción que las estimadas, debido a que el costo promedio por proyecto fue menor con relación al registrado en el ejercicio fiscal 2012, y a la promoción que se le dio para su apoyo.     El avance se calculó con el pre cierre al 20 de febrero del 2014.     Efecto: Con este indicador se muestra que  a través de las intervenciones de Hábitat, se contribuyó al saneamiento del entorno en 36 municipios. Dentro de las acciones para el saneamiento del entorno, en el presente ejercicio fiscal se  financiaron los siguientes proyectos: 77 proyectos para la recolección de basura y un relleno sanitario. Lo anterior, derivó en una contribución a la superación de la pobreza y al mejoramiento de la calidad de vida de los habitantes de zonas urbanas, al mejorar el entorno urbano de dichos asentamientos.  Otros Motivos:</t>
    </r>
  </si>
  <si>
    <r>
      <t xml:space="preserve">Centros de Desarrollo Comunitario apoyados
</t>
    </r>
    <r>
      <rPr>
        <sz val="10"/>
        <rFont val="Soberana Sans"/>
        <family val="2"/>
      </rPr>
      <t xml:space="preserve"> Causa : La Secretaría de Desarrollo Agrario, Territorial y Urbano, a través del Programa Hábitat, estableció para 2013 el indicador estratégico Centros de Desarrollo Comunitario apoyados, a fin de atender con eficacia a la población objetivo del Programa. Para el ejercicio fiscal 2013 la meta se estimó considerando lo realizado en el 2012, sin embargo, al final de ejercicio, se apoyaron 365 Centros de Desarrollo Comunitario (CDC), lo cual significó cumplimiento de 91.25 por ciento la meta original y un  107.67 por ciento de la meta modificada. Este comportamiento se explica principalmente por lo siguiente: Los proyectos son propuestos por las instancias ejecutoras a la SEDATU, considerando que los subsidios federales son complementados con recursos financieros aportados por los gobiernos locales y que los municipios son los principales ejecutores de las obras y acciones financiadas por este Programa. Los proyectos son elaborados con base en las demandas comunitarias.       El avance se calculó con el pre cierre al 20 de febrero del 2014.      Efecto: A través de Hábitat, se apoyarón 365 CDC de  los cuales 69 fueron construidos, 40 Habilitados, 52 ampliados y 322 equipados, esto en beneficio de la población atendida por el Programa que acude a estos inmuebles, dotándolos de más espacios adecuados para la realización de acciones orientadas al desarrollo de sus capacidades individuales y comunitarias, así como para tener acceso a diversos servicios sociales. Lo anterior, derivó en una contribución a la superación de la pobreza y al mejoramiento de la calidad de vida de los habitantes de zonas urbanas, al fortalecer y mejorar la organización y participación social, así como el entorno urbano de dichos asentamientos. Se benefició a la población objetivo del Programa, con la ejecución de obras y acciones en CDC, que se constituyen en puntos de reunión para participar en cursos, talleres y otras actividades enfocadas en la promoción de su desarrollo individual y comunitario. Los CDC son inmuebles donde se impulsan acciones para mejorar la calidad de vida de los habitantes de los Polígonos Hábitat, se promueve el desarrollo individual y comunitario, se fomenta la identidad colectiva y se facilita la prestación de servicios sociales.  Otros Motivos:</t>
    </r>
  </si>
  <si>
    <r>
      <t xml:space="preserve">Redes de servicios básicos apoyadas
</t>
    </r>
    <r>
      <rPr>
        <sz val="10"/>
        <rFont val="Soberana Sans"/>
        <family val="2"/>
      </rPr>
      <t xml:space="preserve"> Causa : La Secretaría de Desarrollo Agrario, Territorial y Urbano, a través del Programa Hábitat, estableció para 2013 el indicador estratégico Redes de servicios básicos apoyadas, a fin de atender con eficacia a la población objetivo del Programa. La meta original se estimó en diciembre del 2012. Al final de ejercicio, se apoyó la introducción o mejoramiento de 629,875 metros lineales de redes de agua potable, drenaje y  electricidad, lo que significó un avance en el cumplimiento del 91.23 por ciento de la meta original y un 106.75 por ciento de la meta modificada.     Este comportamiento se explica principalmente por lo siguiente: Los proyectos son propuestos por las instancias ejecutoras a la SEDATU, considerando que los subsidios federales son complementados con recursos financieros aportados por los gobiernos locales y que los municipios son los principales ejecutores de las obras y acciones financiadas por este Programa. Los proyectos son elaborados con base en las demandas comunitarias.      El avance se calculó con el precierre al 20 de febrero del 2014. Efecto: Con este indicador se muestra que  a través de las intervenciones de Hábitat, se cumplió con dotar de más y mejores servicios básicos (agua potable, drenaje y electricidad) a la población asentada en las zonas de actuación del programa, ubicados en ciudades de al menos 15 mil habitantes. Con las obras realizadas mediante este indicador, se apoyó la construcción, ampliación o mejoramiento de 629,875 metros lineales de redes de agua potable, drenaje y electricidad, facilitando el acceso a estos servicios, en los hogares asentados en las zonas de actuación del programa en los 31 estados y el distrito federal. Lo anterior, derivó en una contribución a la superación de la pobreza y al mejoramiento de la calidad de vida de los habitantes de zonas urbanas, al mejorar el entorno urbano de dichos asentamientos.  Otros Motivos:</t>
    </r>
  </si>
  <si>
    <r>
      <t xml:space="preserve">Proyectos para la prevención y mitigación de riesgos originados por fenómenos naturales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modificada se estimó considerando lo realizado en el 2012, sin embargo, el resultado del indicador fue 130 lo cual representa un 83.33 por ciento de la meta original y un 100.78 por ciento de la meta modificada, este comportamiento se explica principalmente por lo siguiente: Los proyectos son propuestos por las instancias ejecutoras a la SEDATU, considerando que los subsidios federales son complementados con recursos financieros aportados por los gobiernos locales y que los municipios son los principales ejecutores de las obras y acciones financiadas por este Programa. Los proyectos son elaborados con base en las demandas comunitarias.        Nota: en relación a lo reportado en el 4to trimestre se tuvo una cancelación de un proyecto, derivado que el ejecutor no contaba con la contraparte para la realización del proyecto.     El avance se calculó con el pre cierre al 20 de febrero del 2014.     Efecto: Las acciones de prevención de riesgos deben estar orientadas a identificar, estudiar, prevenir, mitigar y zonificar, en los Polígonos Hábitat y su área de influencia, el tipo y grado de peligros naturales existentes, las zonas de riesgo mitigable y no mitigable, las edificaciones y los hogares expuestos a dichos peligros naturales. Entre los proyectos que Hábitat apoyó en el presente ejercicio fiscal se encuentran: acciones de canalización de aguas servidas y agua pluvial, estabilización de taludes y rocas, muros de contención, pozos de absorción, presas de gavión, rectificación y desazolve de causes urbanos y señalización, en beneficio de 60 municipios. Lo anterior, derivó en una contribución a la superación de la pobreza y al mejoramiento de la calidad de vida de los habitantes de zonas urbanas, al mejorar el entorno urbano de dichos asentamientos.  Otros Motivos:</t>
    </r>
  </si>
  <si>
    <r>
      <t xml:space="preserve">Redes de alumbrado público apoyadas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se estimó considerando lo realizado en el 2012, sin embargo, el resultado del indicador se rebasó en un 90.47 por ciento, esto se debe principalmente a que las autoridades locales presentaron más proyectos para esta línea de acción que las estimadas, debido a que el costo promedio por proyecto fue menor con relación al registrado en el ejercicio fiscal 2012,  y a la promoción que se le dio para su apoyo.      El avance se calculó con el precierre al 20 de febrero del 2014. Efecto: Con este indicador se muestra que  a través de las intervenciones de Hábitat, se cumplió con dotar de más y mejores redes de alumbrado público que beneficio a la población asentada en las zonas de actuación del programa, ubicados en ciudades de al menos 15 mil habitantes. Con la introducción o mejoramiento de las luminarias, el Programa contribuye a crear un ambiente seguro y agradable, permitiendo una mejor movilidad en estas zonas, con el objetivo de proporcionar la visibilidad adecuada para el normal desarrollo de las actividades. Para el ejercicio fiscal 2013, se apoyaron 262 proyectos para  la introducción o mejoramiento de 14,369 luminarias. Lo anterior, derivó en una contribución a la superación de la pobreza y al mejoramiento de la calidad de vida de los habitantes de zonas urbanas, al mejorar el entorno urbano de dichos asentamientos. Otros Motivos:</t>
    </r>
  </si>
  <si>
    <r>
      <t xml:space="preserve">Porcentaje de proyectos para promover la igualdad entre hombres y mujeres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modificada se estimó considerando lo realizado en el 2012, sin embargo, el resultado del indicador fue del 85.09 lo que represento el 102.65 por ciento en el cumplimiento de la meta original y un 98.38 de la meta modificada. Este comportamiento se explica principalmente por lo siguiente: Se recibieron de los gobiernos locales menos propuestas para este tipo de proyectos, debido a que los ejecutores solicitaron apoyos para otras líneas de acción de la modalidad de desarrollo social y comunitario, tales como: organización y participación comunitaria y capacitación y asistencia técnica a municipios.     Sin embargo cabe señalar que el número de proyectos del numerador (Número de proyectos para el desarrollo de capacidades individuales, prevención de la violencia y promoción de la equidad de género, realizadas en el año) se superó en un 34.6 por ciento de la meta modificada pasando de 7,600 proyectos estimados a 10,232 proyectos apoyados para promover la igualdad entre hombres y mujeres. Así mismo el denominador (total de proyectos de la modalidad de desarrollo social y comunitario) se superó en 36.8 por ciento de la meta modificada pasando de 8,787 proyectos estimados a 12,025 proyectos apoyados en la modalidad de desarrollo social y comunitario.      El avance se calculó con el pre cierre al 20 de febrero del 2014. Efecto: Hábitat contribuye a la superación de la pobreza y al mejoramiento de la calidad de vida de los habitantes de zonas urbanas.  Hábitat destinó recursos federales por $520.4 millones de pesos para la ejecución de 10,232 proyectos para promover la igualdad entre hombres y mujeres, dentro de los cuales se apoyaron las siguientes acciones 6,585 proyectos para el desarrollo de capacidades individuales y comunitarias, 2,782 proyectos para prevención de la violencia y 865 proyectos de derechos de ciudadanos y equidad de género. Lo anterior, derivó en una contribución a la superación de la pobreza y al mejoramiento de la calidad de vida de los habitantes de zonas urbanas. Otros Motivos:</t>
    </r>
  </si>
  <si>
    <r>
      <t xml:space="preserve">Proyectos para fomentar la organización y participación comunitaria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modificada se estimó considerando lo realizado en el 2012, sin embargo, el resultado del indicador se rebasó en un 8.2 por ciento de la meta original y un 28 por ciento de la meta modificada, apoyando a un total de 1,410 proyectos para fomentar la organización y participación comunitaria,  esto se debe principalmente a que las autoridades locales presentaron más proyectos para esta línea de acción que las estimadas, debido a que el costo promedio por proyecto fue menor con relación al registrado en el ejercicio fiscal 2012, y a la promoción que se le dio para su apoyo.     El avance se calculó con el pre cierre al 20 de febrero del 2014. Efecto: La participación ciudadana es un componente de la democracia como forma de organización social y de gobierno.     Por ello el Programa Hábitat a fomentado la organización y participación comunitaria, a través de la aprobación de 1,410 proyectos, lo que representa el 128% de la meta modificada establecida para el presente ejercicio fiscal.    La distribución temática de estas acciones son: 70 proyectos para apoyar la conformación de los comités comunitarios, 403 correspondientes a comités de contraloría social, 80 proyectos de capacitación para la participación ciudadana y 857 correspondientes a estímulos para prestadores de servicio social y promotores comunitarios.      Otros Motivos:</t>
    </r>
  </si>
  <si>
    <r>
      <t xml:space="preserve">Porcentaje de mujeres beneficiadas con acciones para el desarrollo social y comunitario
</t>
    </r>
    <r>
      <rPr>
        <sz val="10"/>
        <rFont val="Soberana Sans"/>
        <family val="2"/>
      </rPr>
      <t xml:space="preserve"> Causa : El Programa Hábitat, estableció para 2013 el indicador estratégico Porcentaje de mujeres beneficiadas con acciones para el desarrollo social y comunitario, a fin de atender con eficacia a la población objetivo del Programa, mediante el incremento de las personas apoyadas con acciones de desarrollo social.  Los proyectos son propuestos por las instancias ejecutoras a la SEDATU, considerando que los subsidios federales son complementados con recursos financieros aportados por los gobiernos locales y que los municipios son los principales ejecutores de las obras y acciones financiadas por este Programa. Los proyectos son elaborados con base en las demandas comunitarias.  Para el ejercicio fiscal 2013 la meta se estimó considerando lo realizado en el 2012, sin embargo al final del ejercicio, se observó un porcentaje de cumplimiento de 95.98 por ciento lo que representó 770,647 beneficiarios total de la modalidad de Desarrollo Social y Comunitario en la que se beneficiaron a  468,961 mujeres y 301,686 hombres. Este comportamiento se explica principalmente por lo siguiente: Se recibieron de los gobiernos locales menos beneficiarios que los esperados, debido a la demanda solicitada en los Centros de Desarrollo Comunitario.     El avance se calculó con el precierre al 20 de febrero del 2014.  Efecto: Con este indicador se muestra que a través de las intervenciones de hábitat, se logró una atención más integral a la población objetivo del Programa, y particularmente a las personas que se beneficiaron con las acciones para el desarrollo social y comunitario instrumentadas por Hábitat  y en el impulso de la igualdad de oportunidades y derechos entre hombres y mujeres. En el ejercicio fiscal 2013 se beneficiaron a un  468,961 mujeres y 301,686 hombres del total de 770,647 personas de la Modalidad de Desarrollo Social y Comunitario. Entre las acciones financiadas se encuentra la impartición de cursos, talleres y campañas para desarrollar sus capacidades y habilidades, en diversas materias que contribuyen al desarrollo individual y comunitario, así como para el mejoramiento de la salud, la prevención de la violencia, la promoción de la equidad de género, y la organización y participación comunitaria. Lo anterior, derivó en una contribución a la superación de la pobreza y al mejoramiento de la calidad de vida de los habitantes de zonas urbanas Otros Motivos:</t>
    </r>
  </si>
  <si>
    <r>
      <t xml:space="preserve">Proyectos para la planeación del desarrollo urbano y el ordenamiento territorial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modificada se estimó considerando lo realizado en el 2012, sin embargo, el resultado del indicador se rebasó aprobando un total de 23 proyectos para la planeación del desarrollo urbano y el ordenamiento territorial, lo que represento un 109.52  por ciento de la meta original y un 127.78 de la meta modificada, esto se debe principalmente a que las autoridades locales presentaron más proyectos para esta línea de acción que las estimadas, debido a que el costo promedio por proyecto fue menor con relación al registrado en el ejercicio fiscal 2012 y a la promoción que se le dio para su apoyo.     Efecto: Con este tipo de acciones el programa Hábitat contribuyo junto con las instancias ejecutoras el financiamiento para la elaboración de los planes y programas de desarrollo urbano, en sus diferentes niveles de actuación territorial, estos planes y programas son instrumentos técnico¿jurídicos que ordenan y regulan los usos del suelo, así como las actividades económicas y sociales de un territorio, además de contener las estrategias y acciones dirigidas al fomento del desarrollo urbano ordenado, incluyente, competitivo y sustentable. Sus alcances les confieren cobertura para establecer condiciones tendientes a beneficiar a la totalidad de los habitantes urbanos. El Programa Hábitat ejerció un subsidio por $9,584,412, en apoyo para la realización de veintitrés acciones dirigidas a la elaboración o actualización de planes y programas de desarrollo urbano, correspondientes a diez entidades federativas y dieciocho municipios.     Otros Motivos:</t>
    </r>
  </si>
  <si>
    <r>
      <t xml:space="preserve">Proyectos apoyados para fortalecer instancias locales de planeación y gestión del desarrollo social y urbano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modificada se estimó considerando lo realizado en el 2012, sin embargo, el resultado del indicador se rebasó en un 157.14 por ciento, esto se debe principalmente a que las autoridades locales presentaron más proyectos para esta línea de acción que las estimadas, debido principal a la promoción que se le dio para su apoyo, además de que en Reglas de Operación del 2012 se estableció que en la Vertiente General  la aportación federal máxima del costo del proyecto podría ser de hasta 70 por ciento y la aportación de los gobiernos locales al menos el 30 por ciento, por lo que la meta se calculó bajo éste supuesto. Sin embargo, la inversión federal ejercida fue del 60%  (no el 70%) motivo por el cual se pudieron apoyar  más proyectos.     El avance se calculó con el precierre al 20 de febrero del 2014. Efecto: Los institutos municipales constituidos por mandato de ley, realizan actividades de planeación y gestión del desarrollo social y urbano, entre otros aspectos, con la participación de los sectores social y privado, generan, actualizan, compilan y difunden información que facilita la comprensión de los procesos inherentes al municipio, para una adecuada toma de decisiones gubernamentales, además de generar y actualizar instrumentos dirigidos a la planeación y gestión del desarrollo local. Pare el ejercicio fiscal 2013 el programa Hábitat llevo a cabo  36 acciones para la instalación o fortalecimiento de  institutos municipales de planeación, con un subsidio de $4¿433,530.00 e incidencia en 7 municipios (Colima, Hermosillo, León, Manzanillo, Morelia, Querétaro y Río verde) de 6 entidades federativas (Colima, Guanajuato, Michoacán, Querétaro, San Luis Potosí y Sonora).  Otros Motivos:</t>
    </r>
  </si>
  <si>
    <r>
      <t xml:space="preserve">Promedio de proyectos por ciudad para apoyar sitios y centros históricos inscritos en la lista del Patrimonio Mundial de la UNESCO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Para el ejercicio fiscal 2013 la meta modificada se estimó considerando lo realizado en el 2012, sin embargo, el resultado del indicador se rebasó en un 28.98 por ciento, esto se debe principalmente a que se recibieron de los gobiernos locales más propuestas que las esperadas para el apoyo a proyectos para la protección, conservación o revitalización de los Centros Históricos inscritos en la lista del Patrimonio Mundial de la UNESCO, esto debido al bajo costos en promedio por proyecto especialmente en los estados de Guanajuato, Michoacán y Veracruz.      El avance se calculó con el pre cierre al 20 de febrero del 2014. Efecto: El Programa Hábitat, a través de su Vertiente Centros Históricos, apoya la protección, conservación y revitalización de los Centros Históricos inscritos en la Lista de Patrimonio Mundial de la Organización de las Naciones Unidas para la Educación, la Ciencia y la Cultura (UNESCO): Campeche, Ciudad de México -incluido Xochimilco-, Guanajuato, Morelia, Oaxaca, Puebla, Querétaro, San Miguel de Allende, Tlacotalpan y Zacatecas.     Para ello, en 2013 Hábitat destinó subsidios federales que ascienden a 69 millones de pesos, los cuales serán complementados con recursos financieros aportados por los gobiernos locales.          En el ejercicio fiscal 2013, el Programa Hábitat apoyó la ejecución de 49 obras y acciones orientadas a la protección, conservación y revitalización de nueve sitios y centros históricos de las ciudades de: Campeche, Guanajuato, Morelia, Puebla, Querétaro, San Luis Potosí, San Miguel de Allende, Tlacotalpan y Zacatecas, con un monto federal de 62.93 millones de pesos. Estos 49 proyectos se conforman de la siguiente manera: dentro de la modalidad de Mejoramiento del Entorno Urbano, se tienen 32 proyectos que atienden temas específicos en materia de revitalización e imagen urbana, rehabilitación, mantenimiento, infraestructura, pavimentos, cableado subterráneo, alumbrado público, mobiliario urbano y prevención de riesgos. Mientras que en la modalidad de Promoción del Desarrollo Urbano, se apoyan 14 proyectos ejecutivos para el mejoramiento del entorno urbano, 1 reglamento de imagen urbana y 2 planes de manejo.      Otros Motivos:</t>
    </r>
  </si>
  <si>
    <r>
      <t xml:space="preserve">Porcentaje de Polígonos atendidos con proyectos para el mejoramiento del entorno urbano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La meta se calculó bajo el supuesto de apoyar 997 Polígonos con proyectos para el mejoramiento del entorno urbano, de 1,153 polígonos que serían beneficiados por el programa. Sin embargo, se tuvo un incremento en el denominador del 19.3 por ciento pasando de 1,153 programados a 1,376 alcanzados, esto permitió que las autoridades locales pudieron presentar más proyectos para el mejoramiento del entorno urbano, en más polígonos que los programados, pasando de 997 polígonos programados a  1,144 Polígonos apoyados con este tipo de proyectos.          Este comportamiento se explica principalmente por lo siguiente: A la fecha del reporte se han presentado más proyectos que los estimados, esto debido a que la inversión promedio federal por polígono ha sido menor a la registrada en el 2012, lo cual ha permitido atender más polígonos con el monto presupuestado.          Cabe señalar que tomando en consideración lo anterior expuesto, se tiene que el avance real del indicador es 83.14 por ciento, lo que representa un 98.02 por ciento de la meta original y un 236.73 de la meta modificada.             El avance se calculó con el pre cierre al 20 de febrero del 2014.      Efecto: Con este indicador se muestra que a través de las intervenciones de hábitat, se logró una atención más integral a la población objetivo del Programa, y particularmente a las personas que se beneficiaron con proyectos para el mejoramiento del entorno urbano instrumentados por Hábitat. Al cierre del 2013, se aprobaron 4,837 proyectos para el mejoramiento de la infraestructura y equipamiento urbano, beneficiando a 602,277 hogares. Entre estos proyectos, se encuentran la introducción o mejoramiento de 629,875 metros lineales de redes de agua potable, drenaje y electricidad; la colocación de 14,369 luminarias,  2,538 obras para la construcción de 3.7 millones de metros cuadrados de vialidades que comunican y favorecen la movilidad de las personas, y 4 proyectos para la construcción de tanques para distribución de agua. Para recolección y disposición de residuos sólidos el saneamiento del entorno se aprobaron 78 proyectos. En materia de infraestructura social se invirtieron recursos federales en 483 proyectos para la construcción y mejoramiento de 365 centros de desarrollo comunitario; se construyeron 69 nuevos, se equiparon 322 y se mejoraron 92. Lo anterior, derivó en una contribución a la superación de la pobreza y al mejoramiento de la calidad de vida de los habitantes de zonas urbanas.      Otros Motivos:Este indicador tiene un error de captura en la meta anual y trimestrales,  los datos correctos son los siguientes:                 Periodo                   Meta Esperada        Numerador        Denominador           Primer Trimestre             0                             0                      1,153        Segundo Trimestre   60.54%                      698                    1,153        Tercer Trimestre       80.40%                     927                     1,153        Cuarto Trimestre      86.47%                     997                     1,153        </t>
    </r>
  </si>
  <si>
    <r>
      <t xml:space="preserve">Porcentaje de Polígonos atendidos con proyectos para el desarrollo social y comunitario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La meta modificada se calculó bajo el supuesto de apoyar 1,103 Polígonos con proyectos para el desarrollo social y comunitario, de 1,153 polígonos que serían beneficiados por el programa. Sin embargo, se tuvo un incremento en el denominador del 19.3% pasando de 1,153 programados a 1,376 alcanzados, esto permitió que las autoridades locales pudieron presentar más proyectos para el desarrollo social y comunitario, en más polígonos que los programados, pasando de 1,103 polígonos programados a  1,282 Polígonos apoyados con este tipo de proyectos.        Este comportamiento se explica principalmente por lo siguiente: A la fecha del reporte se han presentado más proyectos que los estimados, esto debido a que la inversión promedio federal por polígono ha sido menor a la registrada en el 2012, lo cual ha permitido atender más polígonos con el monto presupuestado.        Cabe señalar que tomando en consideración lo anterior expuesto, se tiene que el avance real del indicador es de 93.17 por ciento, lo que representa un 98.61 por ciento de la meta original y un 97.39 por ciento de la meta modificada.           El avance se calculó con el pre cierre al 20 de febrero del 2014.     Efecto: Con este indicador se muestra que a través de las intervenciones de hábitat, se logró una atención más integral a la población objetivo del Programa, y particularmente a las personas que se beneficiaron con las acciones para el desarrollo social y comunitario instrumentadas por Hábitat. Se beneficiaron 770,647 personas con la impartición de cursos, talleres y campañas para desarrollar sus capacidades y habilidades, en diversas materias que contribuyen al desarrollo individual y comunitario, así como para el mejoramiento de la salud, la prevención de la violencia, la promoción de la equidad de género, y la organización y participación comunitaria. Lo anterior, derivó en una contribución a la superación de la pobreza y al mejoramiento de la calidad de vida de los habitantes de zonas urbanas. Otros Motivos:</t>
    </r>
  </si>
  <si>
    <r>
      <t xml:space="preserve">Porcentaje de Polígonos atendidos que cuentan con comités de contraloría social  Actividad Transversal para los cuatro componentes
</t>
    </r>
    <r>
      <rPr>
        <sz val="10"/>
        <rFont val="Soberana Sans"/>
        <family val="2"/>
      </rPr>
      <t xml:space="preserve"> Causa : La Secretaría de Desarrollo Agrario, Territorial y Urbano, a través del Programa Hábitat, estableció para 2013 el indicador "Porcentaje de Polígonos atendidos que cuentan con comités de contraloría social". En el ejercicio fiscal 2013 y conforme a lo estipulado en la Guía Operativa de Contraloría Social se deben conformar a nivel nacional, al menos 1 Comité de Contraloría Social por polígono; en este sentido para el ejercicio fiscal 2013, de un total de 1,376 Polígonos atendidos por el Programa, se encuentra la representación de al menos una contraloría social en 1,345 Polígonos  lo cual representa el 97.8% de lo programado. Efecto: En el numeral 8.2 de las reglas de operación del programa se hace mención de que la participación de los beneficiarios del programa se propiciará a través de la integración y operación de contralorías sociales y comités comunitarios, para el seguimiento, supervisión y vigilancia del cumplimiento de las metas y acciones comprometidas en el Programa, así como de la correcta aplicación de los recursos públicos asignados al mismo.         Para ello al cierre del ejercicio 2013 se han validado 733 proyectos por un monto federal $12.026 millones de pesos para la conformación de Comités de Contraloría Social, Estimulo a Prestadores de Servicio Social y Promotores Comunitarios que sirven de apoyo en la capacitación y seguimiento de las acciones de vigilancia realizadas por los Comités, así como, la aplicación de actividades de los Comités Comunitarios en relación con la Contraloría Social.         Conforme a lo estipulado en la Guía Operativa de Contraloría Social se deben conformar a nivel nacional, al menos 1 Comité de Contraloría Social por polígono; en este sentido para el ejercicio fiscal 2013, de un total de 1,376 Polígonos atendidos por el Programa, se encuentra la representación de al menos una contraloría social en 1,345 Polígonos  lo cual representa el 97.8% de lo programado.        Las Delegaciones SEDATU junto con los Ejecutores se encuentran realizando la revisión de la información de Contraloría Social integrada en el Sistema Informático de Contraloría Social (SICS).     Otros Motivos:</t>
    </r>
  </si>
  <si>
    <r>
      <t xml:space="preserve">Firma de acuerdos de coordinación con las autoridades locales
</t>
    </r>
    <r>
      <rPr>
        <sz val="10"/>
        <rFont val="Soberana Sans"/>
        <family val="2"/>
      </rPr>
      <t xml:space="preserve"> Causa : La Secretaría de Desarrollo Agrario, Territorial y Urbano, a través del Programa Hábitat, estableció para 2013 el indicador "Firma de acuerdos de coordinación con las autoridades locales" . En el ejercicio fiscal 2013 se suscribieron 41 Acuerdos de Coordinación para la Distribución y Ejercicio de los Subsidios del Programa, los cuales fueron suscritos por la SEDATU, los gobiernos de las Entidades Federativas y los municipios que participaron en el Programa lo cual representa el 100 % de lo programado.     El avance se calculó con el precierre al 20 de febrero del 2014. Efecto: Hábitat es un programa que promueve el desarrollo urbano, para contribuir a mejorar la calidad de vida de los habitantes de zonas urbanas en las que se presenta pobreza y rezagos en infraestructura y servicios urbanos, ubicados en ciudades de al menos 15 mil habitantes.    Para llevar acabo esta tarea se firmaron 41 instrumentos jurídicos de coordinación mediante los cuales se establecieron las ciudades o municipios y polígonos seleccionados, la asignación a los municipios de los subsidios federales y los recursos financieros aportados por los gobiernos locales. Al final del ejercicio 2013 se apoyaron a 254 ciudades de todo el país, ubicadas en 352 municipios y delegaciones políticas del Distrito Federal en 1,376 polígonos hábitat. Otros Motivos:</t>
    </r>
  </si>
  <si>
    <r>
      <t xml:space="preserve">Porcentaje de Municipios apoyados con proyectos para la promocion del desarrollo urbano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La meta modificada se calculó bajo el supuesto de apoyar 23 municipios apoyados con proyectos para la promoción del desarrollo urbano, de 286 municipios estimados a apoyar por el programa. Sin embargo, se tuvo un incremento en el denominador del 23.07 por ciento pasando de 286 programados a 352 alcanzados, motivo por el cual se quedó por debajo el cumplimiento de la meta en un 18.75 por ciento.    Cabe señalar que tomando en consideración lo anterior expuesto, se tiene que el avance real del indicador es 6.53 por ciento, lo que representa un 82.45 por cuento del cumplimiento de la meta original y un 81.22 por ciento de la meta modificada.       El avance se calculó con el pre cierre al 20 de febrero del 2014.     Efecto: Con este tipo de acciones el programa Hábitat contribuyo junto con las instancias ejecutoras el financiamiento para la Promoción del Desarrollo Urbano, a través de 23 acciones dirigidas a la elaboración de los planes y programas de desarrollo urbano y ordenación del territorio; Así mismo se financiaron 36 institutos municipales de planeación en los cuales se realizan actividades de planeación y gestión del desarrollo social y urbano, entre otros aspectos, con la participación de los sectores social y privado, generan, actualizan, compilan y difunden información que facilita la comprensión de los procesos inherentes al municipio, para una adecuada toma de decisiones gubernamentales, además de generar y actualizar instrumentos dirigidos a la planeación y gestión del desarrollo local, en beneficio de 23 municipios. Otros Motivos:</t>
    </r>
  </si>
  <si>
    <r>
      <t xml:space="preserve">Recursos federales y locales  destinados a sitios y centros históricos inscritos en la lista del patrimonio mundial de la UNESCO
</t>
    </r>
    <r>
      <rPr>
        <sz val="10"/>
        <rFont val="Soberana Sans"/>
        <family val="2"/>
      </rPr>
      <t xml:space="preserve"> Causa : Con base en las demandas comunitarias, los proyectos son propuestos por las instancias ejecutoras, principalmente los municipios, y los subsidios federales son complementados con recursos aportados por los gobiernos locales.    La meta modificada se calculó bajo el supuesto de ejercer recursos federales y locales destinados a sitios y centros históricos por un monto de 91,655,363 sin embargo se ejercieron 96,975,118.          En Reglas de Operación 2013 se estableció que las  aportaciones federales para las ciudades con sitios y centros históricos inscritos en la Lista del Patrimonio Mundial de la UNESCO, serían de hasta el setenta por ciento del costo del proyecto y las  aportaciones locales serían de al menos el treinta por ciento del costo. El recurso ejercido para esta línea de acción se elevó debido a que el recurso local fue de 35.10% y no del 30% como se consideraba originalmente, en particular el proyecto apoyado en Puebla tuvo un costo total de $15,064,871 de los cuales $6,984,296 fueron recursos federales que representan el 46.4% del total del proyecto y $8,080,575 recursos locales que representan el 53.6 del total del proyecto, así como el total de los proyectos apoyados en zacatecas los cuales  tuvieron un costo total de $11,968,592 de los cuales $6,984,296 fueron recursos federales que representan el 58.4% del total del proyecto y $4,984,296 recursos locales que representan el 41.6 del total del proyecto.     El avance se calculó con el pre cierre al 20 de febrero del 2014.     Efecto: El Programa Hábitat, a través de su Vertiente Centros Históricos, apoya la protección, conservación y revitalización de los Centros Históricos inscritos en la Lista de Patrimonio Mundial de la Organización de las Naciones Unidas para la Educación, la Ciencia y la Cultura (UNESCO): Campeche, Ciudad de México -incluido Xochimilco-, Guanajuato, Morelia, Oaxaca, Puebla, Querétaro, San Miguel de Allende, Tlacotalpan y Zacatecas.    Para ello, en 2013 Hábitat destinó subsidios federales que ascienden a 69 millones de pesos, los cuales serán complementados con recursos financieros aportados por los gobiernos locales.        En el ejercicio fiscal 2013, el Programa Hábitat apoyó la ejecución de 49 obras y acciones orientadas a la protección, conservación y revitalización de nueve sitios y centros históricos de las ciudades de: Campeche, Guanajuato, Morelia, Puebla, Querétaro, San Luis Potosí, San Miguel de Allende, Tlacotalpan y Zacatecas, con un monto federal de 62.93 millones de pesos. Estos 49 proyectos se conforman de la siguiente manera: dentro de la modalidad de Mejoramiento del Entorno Urbano, se tienen 32 proyectos que atienden temas específicos en materia de revitalización e imagen urbana, rehabilitación, mantenimiento, infraestructura, pavimentos, cableado subterráneo, alumbrado público, mobiliario urbano y prevención de riesgos. Mientras que en la modalidad de Promoción del Desarrollo Urbano, se apoyan 14 proyectos ejecutivos para el mejoramiento del entorno urbano, 1 reglamento de imagen urbana y 2 planes de manejo.     Otros Motivos:</t>
    </r>
  </si>
  <si>
    <t>S058</t>
  </si>
  <si>
    <t>Programa de vivienda digna</t>
  </si>
  <si>
    <t>QIQ-Fideicomiso Fondo Nacional de Habitaciones Populares</t>
  </si>
  <si>
    <t>5 - Vivienda</t>
  </si>
  <si>
    <t>9 - Apoyo a la vivienda social</t>
  </si>
  <si>
    <t>Contribuir a que los hogares mexicanos en situación de pobreza con ingresos por debajo de la linea de bienestar y con carencia por calidad y espacios de la vivienda, mejoren su calidad de vida a través de acciones de vivienda.</t>
  </si>
  <si>
    <r>
      <t>Carencia de la calidad y espacios de la vivienda</t>
    </r>
    <r>
      <rPr>
        <i/>
        <sz val="10"/>
        <color indexed="30"/>
        <rFont val="Soberana Sans"/>
        <family val="3"/>
      </rPr>
      <t xml:space="preserve">
</t>
    </r>
  </si>
  <si>
    <t xml:space="preserve">ic_cv ihv es igual a 1 si icv_pisos ihv es igual a 1 o icv_ techos ihv es igual a 1 o icv_muros ihv es igual 1o icv_hacihv es igual a 1,  ic_cv ihv es igual a 0 si icv_pisos ihv es igual a 0 e icv_techos ihv es igual a 0 e icv_muros ihv es igual a 0 e icv_hac ihv es igual a 0  </t>
  </si>
  <si>
    <t>Vivienda</t>
  </si>
  <si>
    <t>Estratégico-Eficacia-Trianual</t>
  </si>
  <si>
    <t>Hogares mexicanos en situación de pobreza con ingreso por debajo de la línea de bienestar y con carencia por calidad y espacios de la vivienda mejoran sus condiciones habitacionales.</t>
  </si>
  <si>
    <r>
      <t>Índice promedio de hacinamiento de la población objetivo que fue atendida por el programa</t>
    </r>
    <r>
      <rPr>
        <i/>
        <sz val="10"/>
        <color indexed="30"/>
        <rFont val="Soberana Sans"/>
        <family val="3"/>
      </rPr>
      <t xml:space="preserve">
</t>
    </r>
  </si>
  <si>
    <t>Promedio de personas por cuarto en hogares que recibieron un subsidio/Promedio de cuartos por hogar</t>
  </si>
  <si>
    <t>Índice de hacinamiento</t>
  </si>
  <si>
    <t>A Subsidios federales y apoyos económicos entregados a las familias en situación de pobreza para la edificación y/o adquisición de una Unidad Básica de Vivienda (UBV)</t>
  </si>
  <si>
    <r>
      <t>Porcentaje de la aportación anual en vivienda nueva a nivel nacional.</t>
    </r>
    <r>
      <rPr>
        <i/>
        <sz val="10"/>
        <color indexed="30"/>
        <rFont val="Soberana Sans"/>
        <family val="3"/>
      </rPr>
      <t xml:space="preserve">
</t>
    </r>
  </si>
  <si>
    <t>(Numero de subsidios otorgados en la modalidad de UBV/ Necesidades de Vivienda Nueva de los hogares en pobreza con ingresos por debajo de la línea de bienestar con carencia por calidad y espacios en la vivienda a nivel nacional)*100</t>
  </si>
  <si>
    <r>
      <t>Hogares beneficiados con Vivienda Nueva</t>
    </r>
    <r>
      <rPr>
        <i/>
        <sz val="10"/>
        <color indexed="30"/>
        <rFont val="Soberana Sans"/>
        <family val="3"/>
      </rPr>
      <t xml:space="preserve">
Indicador Seleccionado</t>
    </r>
  </si>
  <si>
    <t>Número de hogares beneficiados con una  Unidad Básica de Vivienda (UBV)</t>
  </si>
  <si>
    <r>
      <t>Porcentaje de Hogares beneficiados con Vivienda Nueva</t>
    </r>
    <r>
      <rPr>
        <i/>
        <sz val="10"/>
        <color indexed="30"/>
        <rFont val="Soberana Sans"/>
        <family val="3"/>
      </rPr>
      <t xml:space="preserve">
</t>
    </r>
  </si>
  <si>
    <t>(Número de subsidios otorgados en la modalidad de UBV / Número de subsidios totales entregados) *100</t>
  </si>
  <si>
    <t>B Subsidios federales entregados a los hogares en situación de pobreza con ingresos por debajo de la línea de bienestar con carencia de calidad y espacios en la vivienda para mejoramiento o ampliación de su vivienda.</t>
  </si>
  <si>
    <r>
      <t>Hogares beneficiados con Ampliación y Mejoramiento de Vivienda</t>
    </r>
    <r>
      <rPr>
        <i/>
        <sz val="10"/>
        <color indexed="30"/>
        <rFont val="Soberana Sans"/>
        <family val="3"/>
      </rPr>
      <t xml:space="preserve">
Indicador Seleccionado</t>
    </r>
  </si>
  <si>
    <t>Número de hogares que fueron beneficiados en la modalidad de ampliación y mejoramiento.</t>
  </si>
  <si>
    <r>
      <t>Porcentaje de la aportación anual en el mejoramiento  y ampliación de vivienda</t>
    </r>
    <r>
      <rPr>
        <i/>
        <sz val="10"/>
        <color indexed="30"/>
        <rFont val="Soberana Sans"/>
        <family val="3"/>
      </rPr>
      <t xml:space="preserve">
</t>
    </r>
  </si>
  <si>
    <t>(Número de subsidios otorgados para ampliación y mejoramiento de vivienda/ Necesidades de mejoramiento  de los hogares en pobreza con ingresos por debajo de la línea de bienestar con carencia de calidad y espacios en la vivienda a nivel nacional)*100</t>
  </si>
  <si>
    <r>
      <t>Porcentaje de la aportación anual en la colocación de Pisos Firmes.</t>
    </r>
    <r>
      <rPr>
        <i/>
        <sz val="10"/>
        <color indexed="30"/>
        <rFont val="Soberana Sans"/>
        <family val="3"/>
      </rPr>
      <t xml:space="preserve">
</t>
    </r>
  </si>
  <si>
    <t>(Número de viviendas dotadas de piso firme /Número de hogares con carencia por material de pisos y con ingresos por debajo de la línea de bienestar )*100</t>
  </si>
  <si>
    <r>
      <t>Porcentaje de la aportación Anual  en la colocación  de techos con materiales de calidad.</t>
    </r>
    <r>
      <rPr>
        <i/>
        <sz val="10"/>
        <color indexed="30"/>
        <rFont val="Soberana Sans"/>
        <family val="3"/>
      </rPr>
      <t xml:space="preserve">
</t>
    </r>
  </si>
  <si>
    <t>(Número de viviendas dotadas de techos de lámina metálica, lámina de asbesto, Teja, Losa de concreto acumuladas / Número de hogares con carencia por material de techos y con ingresos por debajo de la línea de bienestar )*100</t>
  </si>
  <si>
    <r>
      <t>Porcentaje de la aportación anual en la colocación de muros con materiales de calidad</t>
    </r>
    <r>
      <rPr>
        <i/>
        <sz val="10"/>
        <color indexed="30"/>
        <rFont val="Soberana Sans"/>
        <family val="3"/>
      </rPr>
      <t xml:space="preserve">
</t>
    </r>
  </si>
  <si>
    <t>Número de viviendas dotadas de Muros de adobe, tabique , ladrillo o block piedra o concreto / Número de hogares con carencia por material de muros  y con ingresos por debajo de la línea de bienestar )*100</t>
  </si>
  <si>
    <r>
      <t>Porcentaje de Hogares beneficiados con Ampliación y Mejoramiento de Vivienda</t>
    </r>
    <r>
      <rPr>
        <i/>
        <sz val="10"/>
        <color indexed="30"/>
        <rFont val="Soberana Sans"/>
        <family val="3"/>
      </rPr>
      <t xml:space="preserve">
</t>
    </r>
  </si>
  <si>
    <t>(Número de subsidios en la modalidad de ampliación y mejoramiento /Total de subsidios entregados) * 100.</t>
  </si>
  <si>
    <t>B 1 Promoción de Comités de Contraloría Social. Las actividades aplican para los dos componentes</t>
  </si>
  <si>
    <r>
      <t>Porcentaje de presupuesto vigilado a través de la implementación de Comités de Contraloría social</t>
    </r>
    <r>
      <rPr>
        <i/>
        <sz val="10"/>
        <color indexed="30"/>
        <rFont val="Soberana Sans"/>
        <family val="3"/>
      </rPr>
      <t xml:space="preserve">
</t>
    </r>
  </si>
  <si>
    <t>(Presupuesto vigilado a través de Comités de Contraloría Social /Presupuesto ejercido)*100</t>
  </si>
  <si>
    <t>B 2 Administracion de Subsidios entregados a los beneficiarios.Las actividades aplican para los dos componentes</t>
  </si>
  <si>
    <r>
      <t>Bonos entregados a los beneficiarios</t>
    </r>
    <r>
      <rPr>
        <i/>
        <sz val="10"/>
        <color indexed="30"/>
        <rFont val="Soberana Sans"/>
        <family val="3"/>
      </rPr>
      <t xml:space="preserve">
</t>
    </r>
  </si>
  <si>
    <t>Número de bonos entregados a los beneficiarios.</t>
  </si>
  <si>
    <t>Bono</t>
  </si>
  <si>
    <t>Gestión-Calidad-Trimestral</t>
  </si>
  <si>
    <t>B 3 Administracion de recursos autorizados y transferidos de la Instancia Normativa a la Instancia Ejecutora. Las actividades aplican para los dos componentes</t>
  </si>
  <si>
    <r>
      <t>Días hábiles transcurridos para la ministración del recurso</t>
    </r>
    <r>
      <rPr>
        <i/>
        <sz val="10"/>
        <color indexed="30"/>
        <rFont val="Soberana Sans"/>
        <family val="3"/>
      </rPr>
      <t xml:space="preserve">
</t>
    </r>
  </si>
  <si>
    <t>(Suma de días hábiles transcurridos entre la aparición del status de impresión en el SIDI y ministración del recurso / Total de beneficiarios)</t>
  </si>
  <si>
    <t>B 4 Subsidios otorgados a grupos vulnerables. Las actividades aplican para los dos componentes</t>
  </si>
  <si>
    <r>
      <t>Porcentaje de subsidios dirigidos a mujeres jefas de familia.</t>
    </r>
    <r>
      <rPr>
        <i/>
        <sz val="10"/>
        <color indexed="30"/>
        <rFont val="Soberana Sans"/>
        <family val="3"/>
      </rPr>
      <t xml:space="preserve">
</t>
    </r>
  </si>
  <si>
    <t>(Número de subsidios otorgados a mujeres jefas de familia / Número de subsidios totales entregados)*100</t>
  </si>
  <si>
    <r>
      <t>Porcentaje de subsidios dirigidos a población de municipios indígenas</t>
    </r>
    <r>
      <rPr>
        <i/>
        <sz val="10"/>
        <color indexed="30"/>
        <rFont val="Soberana Sans"/>
        <family val="3"/>
      </rPr>
      <t xml:space="preserve">
</t>
    </r>
  </si>
  <si>
    <t>(Número subsidios otorgados a población de municipios indígenas / Número de subsidios totales entregados) * 100</t>
  </si>
  <si>
    <r>
      <t>Porcentaje de subsidios dirigidos a población con alguna discapacidad.</t>
    </r>
    <r>
      <rPr>
        <i/>
        <sz val="10"/>
        <color indexed="30"/>
        <rFont val="Soberana Sans"/>
        <family val="3"/>
      </rPr>
      <t xml:space="preserve">
</t>
    </r>
  </si>
  <si>
    <t>(Número subsidios otorgados a población con alguna discapacidad / Número de subsidios totales entregados) * 100</t>
  </si>
  <si>
    <r>
      <t>Porcentaje de subsidios dirigidos a población habitante de localidades rurales.</t>
    </r>
    <r>
      <rPr>
        <i/>
        <sz val="10"/>
        <color indexed="30"/>
        <rFont val="Soberana Sans"/>
        <family val="3"/>
      </rPr>
      <t xml:space="preserve">
</t>
    </r>
  </si>
  <si>
    <t>(Número subsidios otorgados a población habitante de localidades rurales / Número de subsidios totales entregados) * 100</t>
  </si>
  <si>
    <t>B 5 Envio de Planes de trabajo anuales enviados por la Instancia Auxiliar a la Instancia Normativa. Las actividades aplican para los dos componentes</t>
  </si>
  <si>
    <r>
      <t>Porcentaje de Avance en la validación de Planes de Trabajo Anuales.</t>
    </r>
    <r>
      <rPr>
        <i/>
        <sz val="10"/>
        <color indexed="30"/>
        <rFont val="Soberana Sans"/>
        <family val="3"/>
      </rPr>
      <t xml:space="preserve">
</t>
    </r>
  </si>
  <si>
    <t>(Numero acciones autorizadas por la Instancia normativa/Numero de acciones en Planes de trabajo autorizadas en el SIDI)*100</t>
  </si>
  <si>
    <t>B 6 Difusion del programa realizada a nivel nacional. Las actividades aplican para los dos componentes</t>
  </si>
  <si>
    <r>
      <t>Porcentaje de cobertura de difusión del programa a instancias ejecutoras por parte de la Instancia Normativa.</t>
    </r>
    <r>
      <rPr>
        <i/>
        <sz val="10"/>
        <color indexed="30"/>
        <rFont val="Soberana Sans"/>
        <family val="3"/>
      </rPr>
      <t xml:space="preserve">
</t>
    </r>
  </si>
  <si>
    <t>Entidades federativas donde se han dado a conocer el Programa ante Instancias participantes en los primeros 2 meses del año/ Número de Entidades Federativas) * 100.</t>
  </si>
  <si>
    <t>Gestión-Eficiencia-Anual</t>
  </si>
  <si>
    <t>B 7 Verificación de Subsidios. Las actividades aplican para los dos componentes</t>
  </si>
  <si>
    <r>
      <t>Porcentaje de subsidios verificados</t>
    </r>
    <r>
      <rPr>
        <i/>
        <sz val="10"/>
        <color indexed="30"/>
        <rFont val="Soberana Sans"/>
        <family val="3"/>
      </rPr>
      <t xml:space="preserve">
</t>
    </r>
  </si>
  <si>
    <t>(Acciones de vivienda verificadas del año anterior / Total de acciones de vivienda  autorizadas durante el ejercicio fiscal anterior)* 100</t>
  </si>
  <si>
    <r>
      <t>Porcentaje de viviendas ocupadas</t>
    </r>
    <r>
      <rPr>
        <i/>
        <sz val="10"/>
        <color indexed="30"/>
        <rFont val="Soberana Sans"/>
        <family val="3"/>
      </rPr>
      <t xml:space="preserve">
</t>
    </r>
  </si>
  <si>
    <t>(Viviendas Ocupadas Otorgadas de los ejercicios fiscales 2004 al 2010 /Número de viviendas otorgadas en los ejercicios fiscales 2004 al 2010)*100.</t>
  </si>
  <si>
    <r>
      <t xml:space="preserve">Índice promedio de hacinamiento de la población objetivo que fue atendida por el programa
</t>
    </r>
    <r>
      <rPr>
        <sz val="10"/>
        <rFont val="Soberana Sans"/>
        <family val="2"/>
      </rPr>
      <t xml:space="preserve"> Causa : Derivado de la re sectorización del Programa se retrasó el inicio de la operación por lo que no se alcanzó la meta del indicador. Efecto: Con las acciones del Programa Vivienda Digna se pretende abordar de manera simultánea diferentes problemáticas, a fin de mejorar de manera integral la calidad de la vivienda en su conjunto y que la población tenga un mayor impacto en su calidad de vida, al otorgar un mayor número de viviendas nuevas respecto a la ampliación y mejoramiento.         Se contribuyó en mejorar la calidad de vida de personas que vivían en situación de hacinamiento, al otorgar acciones para ampliaciones de vivienda y unidades básicas de vivienda en zonas urbanas y rurales, reduciendo así la relación de personas por cuarto en una vivienda.        Cabe mencionar que el otorgamiento de acciones en esta modalidad, ha permitido reactivar la economía local ya que incrementa la creación de empleos directos e indirectos por la construcción de las mismas.  Otros Motivos:</t>
    </r>
  </si>
  <si>
    <r>
      <t xml:space="preserve">Porcentaje de la aportación anual en vivienda nueva a nivel nacional.
</t>
    </r>
    <r>
      <rPr>
        <sz val="10"/>
        <rFont val="Soberana Sans"/>
        <family val="2"/>
      </rPr>
      <t xml:space="preserve"> Causa : Se rebasó la meta de este indicador, derivado de que se dio prioridad a las acciones integrales.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Lo anterior, también contribuyó a la creación de empleos directos e indirectos con la construcción de acciones de vivienda nueva; lo que permite reactivar la economía local. Otros Motivos:</t>
    </r>
  </si>
  <si>
    <r>
      <t xml:space="preserve">Hogares beneficiados con Vivienda Nueva
</t>
    </r>
    <r>
      <rPr>
        <sz val="10"/>
        <rFont val="Soberana Sans"/>
        <family val="2"/>
      </rPr>
      <t xml:space="preserve"> Causa : Se priorizó la autorización de acciones de vivienda integrales por lo cual se autorizo un mayor numero de Unidades de Básicas de Vivienda o Unidades Básicas de Vivienda Rural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Lo anterior, también contribuyó a la creación de empleos directos e indirectos con la construcción de acciones de vivienda nueva; lo que permite reactivar la economía local.     Otros Motivos:</t>
    </r>
  </si>
  <si>
    <r>
      <t xml:space="preserve">Porcentaje de Hogares beneficiados con Vivienda Nueva
</t>
    </r>
    <r>
      <rPr>
        <sz val="10"/>
        <rFont val="Soberana Sans"/>
        <family val="2"/>
      </rPr>
      <t xml:space="preserve"> Causa :  Con la finalidad de dar seguimiento a la Política de Vivienda Federal se priorizo la autorización de acciones de vivienda por lo que se supero la meta del indicador.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Otros Motivos:</t>
    </r>
  </si>
  <si>
    <r>
      <t xml:space="preserve">Hogares beneficiados con Ampliación y Mejoramiento de Vivienda
</t>
    </r>
    <r>
      <rPr>
        <sz val="10"/>
        <rFont val="Soberana Sans"/>
        <family val="2"/>
      </rPr>
      <t xml:space="preserve"> Causa : Se priorizó la autorización de acciones de vivienda integrales por lo cual se autorizo un mayor numero de Unidades de Básicas de Vivienda, por lo cual no se alcanzo la meta del indicador. Efecto: Derivado de la Misión del Fonhapo y su alineación con el Plan Nacional de Desarrollo y al Programa Sectorial de Desarrollo Agrario, Territorial y Urbano, así como para atender la política nacional de vivienda, las acciones de ampliaciones y mejoramientos que fueron otorgadas con los subsidios del Programa Vivienda Digna, durante el ejercicio fiscal 2013, contribuyen a abatir la carencia de acuerdo con el Indicador de Carencia de Calidad y Espacios de la Vivienda.        Al otorgar subsidios en estas modalidades, se logró beneficiar a personas con acciones de mejoramiento como: piso firme, techo de lámina o de losa de concreto, muros y otras acciones para mejoramiento de vivienda con materiales de calidad.         Asimismo, se contribuyó en mejorar la calidad de vida de personas que vivían en situación de hacinamiento, al otorgar acciones para ampliaciones de vivienda, reduciendo así la relación de personas por cuarto en una vivienda.        Cabe mencionar que el otorgamiento de acciones en esta modalidad, ha permitido reactivar la economía local ya que incrementa la creación de empleos directos e indirectos por la construcción de las mismas.      Otros Motivos:</t>
    </r>
  </si>
  <si>
    <r>
      <t xml:space="preserve">Porcentaje de la aportación anual en el mejoramiento  y ampliación de vivienda
</t>
    </r>
    <r>
      <rPr>
        <sz val="10"/>
        <rFont val="Soberana Sans"/>
        <family val="2"/>
      </rPr>
      <t xml:space="preserve"> Causa :  Se priorizó la autorización de acciones de vivienda integrales por lo cual se autorizo un mayor número de vivienda nuevas, por lo cual no se alcanzo la meta del indicador. Efecto: Derivado de la Misión del Fonhapo y su alineación con el Plan Nacional de Desarrollo y al Programa Sectorial de Desarrollo Agrario, Territorial y Urbano, así como para atender la política nacional de vivienda, las acciones de ampliaciones y mejoramientos que fueron otorgadas con los subsidios del Programa Vivienda Digna, durante el ejercicio fiscal 2013, contribuyen a abatir la carencia de acuerdo con el Indicador de Carencia de Calidad y Espacios de la Vivienda.        Al otorgar subsidios en estas modalidades, se logró beneficiar a personas con acciones de mejoramiento como: piso firme, techo de lámina o de losa de concreto, muros y otras acciones para mejoramiento de vivienda con materiales de calidad.         Asimismo, se contribuyó en mejorar la calidad de vida de personas que vivían en situación de hacinamiento, al otorgar acciones para ampliaciones de vivienda, reduciendo así la relación de personas por cuarto en una vivienda.        Cabe mencionar que el otorgamiento de acciones en esta modalidad, ha permitido reactivar la economía local ya que incrementa la creación de empleos directos e indirectos por la construcción de las mismas.      Otros Motivos:</t>
    </r>
  </si>
  <si>
    <r>
      <t xml:space="preserve">Porcentaje de la aportación anual en la colocación de Pisos Firmes.
</t>
    </r>
    <r>
      <rPr>
        <sz val="10"/>
        <rFont val="Soberana Sans"/>
        <family val="2"/>
      </rPr>
      <t xml:space="preserve"> Causa : Se priorizo la autorización de acciones de vivienda integrales por lo cual se autorizo un mayor número de viviendas nuevas, por lo cual no se alcanzo la meta del indicador. Efecto: Derivado de la Misión del Fonhapo y su alineación con el Plan Nacional de Desarrollo y al Programa Sectorial de Desarrollo Agrario, Territorial y Urbano, así como para atender la política nacional de vivienda, las acciones de ampliaciones y mejoramientos que fueron otorgadas con los subsidios del Programa Vivienda Digna, durante el ejercicio fiscal 2013, contribuyen a abatir la carencia de acuerdo con el Indicador de Carencia de Calidad y Espacios de la Vivienda.          Al otorgar subsidios en estas modalidades, se logró beneficiar aproximadamente a personas con acciones de mejoramiento como: piso firme, techo de lámina o de losa de concreto, muros y otras acciones para mejoramiento de vivienda con materiales de calidad.           Cabe mencionar que el otorgamiento de acciones en esta modalidad, ha permitido reactivar la economía local ya que incrementa la creación de empleos directos e indirectos por la construcción de las mismas.       Otros Motivos:</t>
    </r>
  </si>
  <si>
    <r>
      <t xml:space="preserve">Porcentaje de la aportación Anual  en la colocación  de techos con materiales de calidad.
</t>
    </r>
    <r>
      <rPr>
        <sz val="10"/>
        <rFont val="Soberana Sans"/>
        <family val="2"/>
      </rPr>
      <t xml:space="preserve"> Causa : Se priorizó la autorización de acciones de vivienda integrales por lo cual se autorizo un mayor numero de Unidades de Básicas de Vivienda, por lo cual no se alcanzo la meta del indicador.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Otros Motivos:</t>
    </r>
  </si>
  <si>
    <r>
      <t xml:space="preserve">Porcentaje de la aportación anual en la colocación de muros con materiales de calidad
</t>
    </r>
    <r>
      <rPr>
        <sz val="10"/>
        <rFont val="Soberana Sans"/>
        <family val="2"/>
      </rPr>
      <t xml:space="preserve"> Causa : No se alcanzó la meta del indicador ya que se dio prioridad a las viviendas nuevas, a fin de otorgar acciones de vivienda integral. Efecto: Derivado de la Misión del Fonhapo y su alineación con el Plan Nacional de Desarrollo y al Programa Sectorial de Desarrollo Agrario, Territorial y Urbano, así como para atender la política nacional de vivienda, las acciones de ampliaciones y mejoramientos que fueron otorgadas con los subsidios del Programa Vivienda Digna, durante el ejercicio fiscal 2013, contribuyen a abatir la carencia de acuerdo con el Indicador de Carencia de Calidad y Espacios de la Vivienda.            Al otorgar subsidios en estas modalidades, se logró beneficiar a personas con acciones de mejoramiento como: piso firme, techo de lámina o de losa de concreto, muros y otras acciones para mejoramiento de vivienda con materiales de calidad.             Cabe mencionar que el otorgamiento de acciones en esta modalidad, ha permitido reactivar la economía local ya que incrementa la creación de empleos directos e indirectos por la construcción de las mismas.  Otros Motivos:</t>
    </r>
  </si>
  <si>
    <r>
      <t xml:space="preserve">Porcentaje de Hogares beneficiados con Ampliación y Mejoramiento de Vivienda
</t>
    </r>
    <r>
      <rPr>
        <sz val="10"/>
        <rFont val="Soberana Sans"/>
        <family val="2"/>
      </rPr>
      <t xml:space="preserve"> Causa : Se priorizó la autorización de acciones de vivienda integrales por lo cual se autorizo un mayor numero de Unidades de Básicas de Vivienda y Unidades Básicas de Vivienda Rural, por lo cual no se alcanzo la meta del indicador. Efecto: Derivado de la Misión del Fonhapo y su alineación con el Plan Nacional de Desarrollo y al Programa Sectorial de Desarrollo Agrario, Territorial y Urbano, así como para atender la política nacional de vivienda, las acciones de ampliaciones y mejoramientos que fueron otorgadas con los subsidios del Programa Vivienda Digna, durante el ejercicio fiscal 2013, contribuyen a abatir la carencia de acuerdo con el Indicador de Carencia de Calidad y Espacios de la Vivienda.        Al otorgar subsidios en estas modalidades, se logró beneficiar a personas con acciones de mejoramiento como: piso firme, techo de lámina o de losa de concreto, muros y otras acciones para mejoramiento de vivienda con materiales de calidad.         Asimismo, se contribuyó en mejorar la calidad de vida de personas que vivían en situación de hacinamiento, al otorgar acciones para ampliaciones de vivienda, reduciendo así la relación de personas por cuarto en una vivienda.        Cabe mencionar que el otorgamiento de acciones en esta modalidad, ha permitido reactivar la economía local ya que incrementa la creación de empleos directos e indirectos por la construcción de las mismas.      Otros Motivos:</t>
    </r>
  </si>
  <si>
    <r>
      <t xml:space="preserve">Bonos entregados a los beneficiarios
</t>
    </r>
    <r>
      <rPr>
        <sz val="10"/>
        <rFont val="Soberana Sans"/>
        <family val="2"/>
      </rPr>
      <t xml:space="preserve"> Causa : Derivado de la re sectorización del Programa se retraso el inicio de la operación por lo que no se alcanzo la meta del indicador.       Efecto: El Programa Vivienda Digna, contribuyó a que hogares mexicanos en situación de pobreza con ingresos por debajo de la línea de bienestar y con carencia por calidad y espacios de la vivienda mejoraran su calidad de vida con acciones de vivienda nueva, ampliaciones y mejoramientos.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Lo anterior, también contribuyó a la creación de empleos directos e indirectos con la construcción de acciones de vivienda nueva; lo que permite reactivar la economía local.           Además, al otorgar subsidios en estas modalidades, se logró beneficiar a personas con acciones de mejoramiento como: piso firme, techo de lámina o de losa de concreto, muros y otras acciones para mejoramiento de vivienda con materiales de calidad.             Asimismo, se contribuyó en mejorar la calidad de vida de personas que vivían en situación de hacinamiento, al otorgar acciones para ampliaciones de vivienda, reduciendo así la relación de personas por cuarto en una vivienda.       Otros Motivos:</t>
    </r>
  </si>
  <si>
    <r>
      <t xml:space="preserve">Días hábiles transcurridos para la ministración del recurso
</t>
    </r>
    <r>
      <rPr>
        <sz val="10"/>
        <rFont val="Soberana Sans"/>
        <family val="2"/>
      </rPr>
      <t xml:space="preserve"> Causa :  Se buscó agilizar la operación de programa por lo que se supero la meta del indicador.(Descendentes)  Efecto: Los beneficiarios pudieron adquirir el subsidio para la vivienda en un tiempo más corto de lo esperado. Otros Motivos:</t>
    </r>
  </si>
  <si>
    <r>
      <t xml:space="preserve">Porcentaje de subsidios dirigidos a mujeres jefas de familia.
</t>
    </r>
    <r>
      <rPr>
        <sz val="10"/>
        <rFont val="Soberana Sans"/>
        <family val="2"/>
      </rPr>
      <t xml:space="preserve"> Causa : El numero de solicitudes realizadas por mujeres jefas de familia fue menor a las estimadas por lo cual no se alcanzo la meta del indicador. Efecto: Al respecto el Programa Vivienda Digna ocupa su presupuesto para atender un gran número de mujeres jefas de familia, aunque el programa no esta destinado únicamente a  mujeres, a partir del ejercicio fiscal 2006 aproximadamente el 50 por ciento de los beneficiarios son del sexo femenino (reportadas como jefas de familia en el Sistema Integral de Información del FONHAPO (SIDI), lo cual supera el 44.5 por ciento del presupuesto destinado del programa para atención de solicitantes del sexo femenino.  Otros Motivos:</t>
    </r>
  </si>
  <si>
    <r>
      <t xml:space="preserve">Porcentaje de subsidios dirigidos a población de municipios indígenas
</t>
    </r>
    <r>
      <rPr>
        <sz val="10"/>
        <rFont val="Soberana Sans"/>
        <family val="2"/>
      </rPr>
      <t xml:space="preserve"> Causa : Derivado de la firma de un convenio de colaboración con la Comisión Nacional para el Desarrollo de los Pueblos Indígenas (CDI),  se fomento la participación en el programa de municipios indígenas, por lo tanto se supero la meta del indicador.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Otros Motivos:</t>
    </r>
  </si>
  <si>
    <r>
      <t xml:space="preserve">Porcentaje de subsidios dirigidos a población con alguna discapacidad.
</t>
    </r>
    <r>
      <rPr>
        <sz val="10"/>
        <rFont val="Soberana Sans"/>
        <family val="2"/>
      </rPr>
      <t xml:space="preserve"> Causa :  A la fecha no se cuenta con información  referente a beneficiarios con alguna discapacidad, ya que se encuentra en proceso de conciliación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Otros Motivos:</t>
    </r>
  </si>
  <si>
    <r>
      <t xml:space="preserve">Porcentaje de subsidios dirigidos a población habitante de localidades rurales.
</t>
    </r>
    <r>
      <rPr>
        <sz val="10"/>
        <rFont val="Soberana Sans"/>
        <family val="2"/>
      </rPr>
      <t xml:space="preserve"> Causa :  La medición de indicador es proporcional al numero de subsidios otorgados por lo que se considera que la meta del indicador es suficiente respecto a la proporción de avance.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Otros Motivos:</t>
    </r>
  </si>
  <si>
    <r>
      <t xml:space="preserve">Porcentaje de Avance en la validación de Planes de Trabajo Anuales.
</t>
    </r>
    <r>
      <rPr>
        <sz val="10"/>
        <rFont val="Soberana Sans"/>
        <family val="2"/>
      </rPr>
      <t xml:space="preserve"> Causa : Derivado de la re sectorización del Programa se retrasó el inicio de la operación por lo que no se alcanzó la meta del indicador.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Otros Motivos:</t>
    </r>
  </si>
  <si>
    <r>
      <t xml:space="preserve">Porcentaje de cobertura de difusión del programa a instancias ejecutoras por parte de la Instancia Normativa.
</t>
    </r>
    <r>
      <rPr>
        <sz val="10"/>
        <rFont val="Soberana Sans"/>
        <family val="2"/>
      </rPr>
      <t xml:space="preserve"> Causa : Se realizaron las actividades de difusión en las 32 entidades federativas Efecto: El Programa Vivienda Digna, contribuyó a que hogares mexicanos en situación de pobreza con ingresos por debajo de la línea de bienestar y con carencia por calidad y espacios de la vivienda mejoraran su calidad de vida con acciones de vivienda nueva, ampliaciones y mejoramientos.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Lo anterior, también contribuyó a la creación de empleos directos e indirectos con la construcción de acciones de vivienda nueva; lo que permite reactivar la economía local.        Además, al otorgar subsidios en estas modalidades, se logró beneficiar a personas con acciones de mejoramiento como: piso firme, techo de lámina o de losa de concreto, muros y otras acciones para mejoramiento de vivienda con materiales de calidad.         Asimismo, se contribuyó en mejorar la calidad de vida de personas que vivían en situación de hacinamiento, al otorgar acciones para ampliaciones de vivienda, reduciendo así la relación de personas por cuarto en una vivienda.          Otros Motivos:</t>
    </r>
  </si>
  <si>
    <r>
      <t xml:space="preserve">Porcentaje de subsidios verificados
</t>
    </r>
    <r>
      <rPr>
        <sz val="10"/>
        <rFont val="Soberana Sans"/>
        <family val="2"/>
      </rPr>
      <t xml:space="preserve"> Causa : Derivado de la resectorización del Programa se retrasó el inicio de la operación por lo que no se alcanzó la meta del indicador. Sin embargo, se realizaron acciones de verificación al contratar el apoyo de un externo(Universidad Intercultural de Estado de México). Efecto: Derivado de la Misión del Fonhapo y su alineación con el Plan Nacional de Desarrollo y al Programa Sectorial de Desarrollo Agrario, Territorial y Urbano, así como para atender la política nacional de vivienda, las acciones de ampliaciones y mejoramientos que fueron otorgadas con los subsidios del Programa Vivienda Digna, durante el ejercicio fiscal 2013, contribuyen a abatir la carencia de acuerdo con el Indicador de Carencia de Calidad y Espacios de la Vivienda.        Al otorgar subsidios en la modalidad de ampliación y mejoramiento, se logró beneficiar a personas con acciones de mejoramiento como: piso firme, techo de lámina o de losa de concreto, muros y otras acciones para mejoramiento de vivienda con materiales de calidad.         Asimismo, se contribuyó en mejorar la calidad de vida de personas que vivían en situación de hacinamiento, al otorgar acciones para ampliaciones de vivienda, reduciendo así la relación de personas por cuarto en una vivienda.        Cabe mencionar que el otorgamiento de acciones en esta modalidad, ha permitido reactivar la economía local ya que incrementa la creación de empleos directos e indirectos por la construcción de las mismas.          Otros Motivos:</t>
    </r>
  </si>
  <si>
    <r>
      <t xml:space="preserve">Porcentaje de viviendas ocupadas
</t>
    </r>
    <r>
      <rPr>
        <sz val="10"/>
        <rFont val="Soberana Sans"/>
        <family val="2"/>
      </rPr>
      <t xml:space="preserve"> Causa : Derivado de la re sectorización del Programa las verificaciones de las acciones de ejercicios fiscales anteriores se han visto retrasadas, por lo que no se alcanzo la meta del indicador.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Lo anterior, también contribuyó a la creación de empleos directos e indirectos con la construcción de acciones de vivienda nueva; lo que permite reactivar la economía local.     Otros Motivos:</t>
    </r>
  </si>
  <si>
    <t>S088</t>
  </si>
  <si>
    <t>Programa de la Mujer en el Sector Agrario (PROMUSAG)</t>
  </si>
  <si>
    <t>310-Dirección General de Desarrollo Agrario</t>
  </si>
  <si>
    <t>6 - Impulso a la inversión para mejoramiento de los niveles de los sujetos agrarios</t>
  </si>
  <si>
    <t>Contribuir a la generación de ingreso de las mujeres con 18 años cumplidos o más que habitan en Núcleos Agrarios, mediante la implementación de proyectos productivos</t>
  </si>
  <si>
    <r>
      <t>Tasa de variación en el ingreso de las mujeres apoyadas derivada de la implementación del proyecto productivo.</t>
    </r>
    <r>
      <rPr>
        <i/>
        <sz val="10"/>
        <color indexed="30"/>
        <rFont val="Soberana Sans"/>
        <family val="3"/>
      </rPr>
      <t xml:space="preserve">
Indicador Seleccionado</t>
    </r>
  </si>
  <si>
    <t>(Monto de Ingreso promedio mensual de las mujeres apoyadas en T1 - Monto de Ingreso promedio mensual de las mujeres en T0 / Monto de Ingreso promedio mensual de las mujeres en T0)*100.</t>
  </si>
  <si>
    <t>Tasa de variación</t>
  </si>
  <si>
    <t>Las mujeres con 18 años cumplidos o más que habitan en Núcleos Agrarios cuentan con empleo mediante la implementación de proyectos productivos.</t>
  </si>
  <si>
    <r>
      <t>Porcentaje de proyectos productivos activos a un año de haber sido apoyados.</t>
    </r>
    <r>
      <rPr>
        <i/>
        <sz val="10"/>
        <color indexed="30"/>
        <rFont val="Soberana Sans"/>
        <family val="3"/>
      </rPr>
      <t xml:space="preserve">
Indicador Seleccionado</t>
    </r>
  </si>
  <si>
    <t>(Número de proyectos productivos activos a un año de haber sido apoyados / Total de proyectos productivos apoyados en el ejercicio fiscal anterior supervisados)*100</t>
  </si>
  <si>
    <r>
      <t>Promedio de empleo generado por proyecto productivo apoyado.</t>
    </r>
    <r>
      <rPr>
        <i/>
        <sz val="10"/>
        <color indexed="30"/>
        <rFont val="Soberana Sans"/>
        <family val="3"/>
      </rPr>
      <t xml:space="preserve">
</t>
    </r>
  </si>
  <si>
    <t>(Número de empleos generados en el año / Número total de proyectos productivos apoyados en el año)</t>
  </si>
  <si>
    <t>A Proyectos productivos apoyados</t>
  </si>
  <si>
    <r>
      <t>Porcentaje de proyectos productivos apoyados para su implementación.</t>
    </r>
    <r>
      <rPr>
        <i/>
        <sz val="10"/>
        <color indexed="30"/>
        <rFont val="Soberana Sans"/>
        <family val="3"/>
      </rPr>
      <t xml:space="preserve">
</t>
    </r>
  </si>
  <si>
    <t>(Número de proyectos productivos apoyados / Total de proyectos productivos registrados en el SICAPP)*100</t>
  </si>
  <si>
    <t>Estratégico-Eficacia-Semestral</t>
  </si>
  <si>
    <r>
      <t>Porcentaje de mujeres jefas de familia apoyadas con proyectos productivos.</t>
    </r>
    <r>
      <rPr>
        <i/>
        <sz val="10"/>
        <color indexed="30"/>
        <rFont val="Soberana Sans"/>
        <family val="3"/>
      </rPr>
      <t xml:space="preserve">
</t>
    </r>
  </si>
  <si>
    <t>(Número total de mujeres jefas de familia apoyadas con proyectos productivos / Total de mujeres apoyadas con proyectos) *100</t>
  </si>
  <si>
    <r>
      <t>Porcentaje de proyectos productivos agroalimentarios apoyados para su implementación.</t>
    </r>
    <r>
      <rPr>
        <i/>
        <sz val="10"/>
        <color indexed="30"/>
        <rFont val="Soberana Sans"/>
        <family val="3"/>
      </rPr>
      <t xml:space="preserve">
</t>
    </r>
  </si>
  <si>
    <t>(Número de proyectos productivos agroalimentarios apoyados / Total de proyectos productivos apoyados)*100</t>
  </si>
  <si>
    <t>A 1 Supervisión previa de proyectos productivos.</t>
  </si>
  <si>
    <r>
      <t>Porcentaje de proyectos productivos supervisados previo a la entrega del apoyo.</t>
    </r>
    <r>
      <rPr>
        <i/>
        <sz val="10"/>
        <color indexed="30"/>
        <rFont val="Soberana Sans"/>
        <family val="3"/>
      </rPr>
      <t xml:space="preserve">
</t>
    </r>
  </si>
  <si>
    <t>(Número de proyectos productivos autorizados supervisados previo a la entrega del apoyo / Total de proyectos productivos autorizados)*100</t>
  </si>
  <si>
    <t>A 2 Capacitación para la implementación del proyecto productivo.</t>
  </si>
  <si>
    <r>
      <t>Porcentaje de mujeres capacitadas para la implementación de proyectos productivos.</t>
    </r>
    <r>
      <rPr>
        <i/>
        <sz val="10"/>
        <color indexed="30"/>
        <rFont val="Soberana Sans"/>
        <family val="3"/>
      </rPr>
      <t xml:space="preserve">
</t>
    </r>
  </si>
  <si>
    <t>(Número de mujeres capacitadas / Total de mujeres convocadas a capacitar)*100</t>
  </si>
  <si>
    <t>A 3 Dictaminación de proyectos productivos.</t>
  </si>
  <si>
    <r>
      <t>Porcentaje de proyectos productivos procedentes dictaminados.</t>
    </r>
    <r>
      <rPr>
        <i/>
        <sz val="10"/>
        <color indexed="30"/>
        <rFont val="Soberana Sans"/>
        <family val="3"/>
      </rPr>
      <t xml:space="preserve">
</t>
    </r>
  </si>
  <si>
    <t>(Número de solicitudes de apoyo a proyectos productivos procedentes dictaminadas / Total de solicitudes de apoyo a proyectos productivos procedentes)*100</t>
  </si>
  <si>
    <t>A 4 Supervisión de seguimiento de proyectos productivos.</t>
  </si>
  <si>
    <r>
      <t>Porcentaje de proyectos productivos apoyados en el ejercicio fiscal del año anterior supervisados.</t>
    </r>
    <r>
      <rPr>
        <i/>
        <sz val="10"/>
        <color indexed="30"/>
        <rFont val="Soberana Sans"/>
        <family val="3"/>
      </rPr>
      <t xml:space="preserve">
</t>
    </r>
  </si>
  <si>
    <t>(Número de proyectos productivos apoyados en el ejercicio fiscal del año anterior supervisados / Total de proyectos productivos apoyados en el ejercicio fiscal del año anterior)*100</t>
  </si>
  <si>
    <r>
      <t xml:space="preserve">Tasa de variación en el ingreso de las mujeres apoyadas derivada de la implementación del proyecto productivo.
</t>
    </r>
    <r>
      <rPr>
        <sz val="10"/>
        <rFont val="Soberana Sans"/>
        <family val="2"/>
      </rPr>
      <t xml:space="preserve"> Causa : De conformidad con los resultados definitivos de la ¿Evaluación Externa Complementaria 2013¿ realizada por la Organización de las Naciones Unidas para la Alimentación y la Agricultura (FAO), se obtuvo que el ingreso promedio de las mujeres después de un año haber recibido el apoyo registró un incremento del 8.9 por ciento, logrando superar la meta anual programada del 8.0 por ciento. El resultado alcanzado se puede entender por lo siguiente:       -Con la información obtenida de las encuestas individuales realizadas a la muestra de beneficiarias se construyó el indicador considerando todas las fuentes de ingreso de las mujeres apoyadas, antes de la implementación del proyecto productivo y un año después de su participación en el mismo, donde se incluyeron las utilidades y salarios derivados del proyecto.   -La estimación de este indicador es resultado de la comparación del ingreso antes (2010) y después (2012) de la participación de las beneficiarias en los proyectos     Efecto: Positivo. La variación en el ingreso de las mujeres apoyadas contribuye a mejorar la calidad de vida de las beneficiarias y sus familias; así como a disminuir la brecha entre mujeres y hombres, en relación a su condición de igualdad de trato, y participar con mayor frecuencia en la toma de decisiones tanto familiares como de su propia comunidad.             Los impactos específicos se describen a continuación:        - El aporte derivado de la operación de los proyectos les significó un ingreso de $623 en promedio.     - Este ingreso, obtenido de las utilidades y salarios del proyecto, compensó la disminución de otras fuentes de recursos, como el trabajo asalariado y el autoempleo fuera del proyecto e incrementó el ingreso nominal de las beneficiarias.     Otros Motivos:De acuerdo con los resultados obtenidos en la (Evaluación Externa Complementaria 2013), realizada por la Organización de las Naciones Unidas para la Alimentación y la Agricultura (FAO) y de conformidad a la metodología establecida, se obtuvo que el ingreso inicial de las beneficiarias previo a que recibieran el apoyo del Programa era de 1,666.00 pesos, el cual incremento en 8.9 por ciento (1,814.00 pesos) con la implementación y puesta en marcha del proyecto productivo apoyado. La variación en la línea base del ingreso se debe principalmente a que los grupos beneficiados que conformaron la muestra en la evaluación externa que realizó en 2008 la Universidad Autónoma Chapingo, son distintos a los grupos de beneficiarios que integraron la muestra que utilizó la FAO para la determinación del ingreso inicial.</t>
    </r>
  </si>
  <si>
    <r>
      <t xml:space="preserve">Porcentaje de proyectos productivos activos a un año de haber sido apoyados.
</t>
    </r>
    <r>
      <rPr>
        <sz val="10"/>
        <rFont val="Soberana Sans"/>
        <family val="2"/>
      </rPr>
      <t xml:space="preserve"> Causa : Derivado del proceso de supervisión de seguimiento a proyectos apoyados en el ejercicio fiscal 2012, se logró determinar que  4,639 proyectos siguen operando, logrando superar en 41.3 por ciento la meta anual programada. Este resultado se explica principalmente por:              -El fortalecimiento de las capacidades y habilidades de las beneficiarias como resultado de las mejoras en los materiales y contenidos de la capacitación recibida previo a la entrega del recurso.     - El mejoramiento en la asistencia y acompañamiento de los técnicos habilitados por la Secretaría; así como, el establecimiento de derechos, obligaciones y sanciones en los Lineamientos  para la Habilitación al Padrón de Técnicos 2013.       Efecto: Positivo. La efectividad alcanzada en la continuidad operativa de los proyectos a un año de haber recibo el apoyo económico, favorece el desarrollo y consolidación de los mismos, lo cual permite que las beneficiarias cuenten con una fuente de ingreso continúa y da la oportunidad de generar nuevos empleos que contribuyan al desarrollo del sector rural, a mitigar la migración de sus habitantes y por consiguiente a la reducción de la pobreza en los Núcleos Agrarios. Los efectos particulares sobre la continuidad de los proyectos radican principalmente en:     - Se integraron mujeres habitantes de Núcleos Agrarios a actividades productivas que les generaron ingresos.     - El 81.2 por ciento de las mujeres que han participado en la implementación de proyectos productivos han mejorado las condiciones de igualdad de trato con relación a los hombres.     - El 61.4 por ciento  de las beneficiarias ha contribuido a la toma de decisiones del gasto del hogar.      Otros Motivos:</t>
    </r>
  </si>
  <si>
    <r>
      <t xml:space="preserve">Promedio de empleo generado por proyecto productivo apoyado.
</t>
    </r>
    <r>
      <rPr>
        <sz val="10"/>
        <rFont val="Soberana Sans"/>
        <family val="2"/>
      </rPr>
      <t xml:space="preserve"> Causa : Con el objeto de impulsar la generación de empleo en los Núcleos Agrarios del país, de enero a diciembre el Programa generó en promedio 6 empleos por proyecto productivo, logrando cumplir el 100 por ciento la meta anual establecida. Este resultado se explica debido a que:        - Ocho de cada diez grupos apoyados en 2013 están integrados por el máximo de personas establecido en las Reglas de Operación.      Efecto: Positivo. Se coadyuva al mejoramiento del ingreso de las beneficiarias y al empoderamiento de las mujeres al contribuir al gasto familiar, lo cual permite mejorar su calidad de vida y la de sus familias. Otros Motivos:</t>
    </r>
  </si>
  <si>
    <r>
      <t xml:space="preserve">Porcentaje de proyectos productivos apoyados para su implementación.
</t>
    </r>
    <r>
      <rPr>
        <sz val="10"/>
        <rFont val="Soberana Sans"/>
        <family val="2"/>
      </rPr>
      <t xml:space="preserve"> Causa : Al cierre del ejercicio fiscal 2013 se han apoyado a 5,226 proyectos productivos para su implementación, logrando superar en 2.5 por ciento de la meta anual establecida. Lo anterior se explica porque:         - Se apoyaron a proyectos productivos con menor número de integrantes del máximo establecido por grupo, lo cual contribuyó a la autorización de un mayor número de proyectos productivos respecto a los programados a apoyar en el ejercicio fiscal 2013.     Efecto: Positivo. El apoyo a proyectos productivos dio la oportunidad a más de 29 mil mujeres que habitan en Núcleos Agrarios de contar con una opción productiva que genere empleos y mejore sus ingresos.  Otros Motivos:</t>
    </r>
  </si>
  <si>
    <r>
      <t xml:space="preserve">Porcentaje de mujeres jefas de familia apoyadas con proyectos productivos.
</t>
    </r>
    <r>
      <rPr>
        <sz val="10"/>
        <rFont val="Soberana Sans"/>
        <family val="2"/>
      </rPr>
      <t xml:space="preserve"> Causa : Durante el ejercicio fiscal 2013 se apoyaron a 10,218 mujeres que son jefas de familia para la implementación de proyectos productivos; cifra que representa el 33.40 por ciento con respecto al total de mujeres programadas a apoyar, logrando superar en 11.33 por ciento la meta anual establecida. Lo anterior se explica porque:       - Se apoyó a más grupos con proyectos productivos conformados por jefas de familia.     Efecto: Positivo. El apoyo a mujeres jefas de familia contribuye a la igualdad de oportunidades entre las mujeres a través del desarrollo de actividades productivas que les generan empleo e ingreso en los Núcleos Agrarios. Otros Motivos:</t>
    </r>
  </si>
  <si>
    <r>
      <t xml:space="preserve">Porcentaje de proyectos productivos agroalimentarios apoyados para su implementación.
</t>
    </r>
    <r>
      <rPr>
        <sz val="10"/>
        <rFont val="Soberana Sans"/>
        <family val="2"/>
      </rPr>
      <t xml:space="preserve"> Causa : Al cierre del ejercicio fiscal 2013 se han apoyado a 3,668 proyectos productivos agroalimentarios para su implementación, logrando superar en 19.86 por ciento la meta anual establecida. Lo anterior se explica debido a que:        - El programa destinó el 70.8 por ciento de los recursos al apoyo de proyectos productivos  con actividades relacionadas con la producción, acopio, comercialización y distribución de alimentos.     Efecto: Positivo. El apoyo a proyectos productivos agroalimentarios dio la oportunidad a 21,078 mujeres que habitan en Núcleos Agrarios de contar con una actividad productiva relacionada con la producción de alimentos que incremente sus ingresos y les genere empleo; así mismo contribuye a garantizar la seguridad alimentaria del sector rural. Otros Motivos:</t>
    </r>
  </si>
  <si>
    <r>
      <t xml:space="preserve">Porcentaje de proyectos productivos supervisados previo a la entrega del apoyo.
</t>
    </r>
    <r>
      <rPr>
        <sz val="10"/>
        <rFont val="Soberana Sans"/>
        <family val="2"/>
      </rPr>
      <t xml:space="preserve"> Causa : Con la finalidad de constatar la veracidad de la información de la solicitud de apoyo, la identidad de las integrantes del grupo, la ubicación territorial del proyecto y las condiciones físicas, técnicas, materiales, humanas y de mercado del mismo; de enero a diciembre se supervisaron de forma aleatoria 2,077 proyectos productivos previo a la entrega de los recursos autorizados; logrando superar en 35.8 por ciento la meta anual establecida. El resultado responde principalmente a que:        - Se diseñó e implementó el Sistema de Seguimiento de Supervisión (SISS) el cual favoreció a la realización, análisis y sistematización de la información obtenida en las visitas de supervisión previa. Asimismo, se capacitaron a todos los supervisores sobre las herramientas y método de trabajo para llevar acabo la supervisión de proyectos productivos. Se creó la figura del supervisor regional que permitió dar seguimiento puntual y cercano al trabajo de los supervisores de todo el país. Los supervisores de las 32 Entidades Federativas realizaron esfuerzos a fin de supervisar el mayor número de proyectos productivos autorizados previo a la entrega de recursos, cumpliendo así con los criterios de transparencia en la autorización y ejecución de los recursos destinados para la implementación de proyectos productivos.     Efecto: Positivo. La supervisión previa de proyectos productivos autorizados por el Comité permite cancelar aquellos proyectos en los que no existen las condiciones físicas, técnicas, materiales, humanas y de mercado para su implementación. Lo anterior coadyuva a la eficacia, eficiencia y efectividad del programa. Otros Motivos:</t>
    </r>
  </si>
  <si>
    <r>
      <t xml:space="preserve">Porcentaje de mujeres capacitadas para la implementación de proyectos productivos.
</t>
    </r>
    <r>
      <rPr>
        <sz val="10"/>
        <rFont val="Soberana Sans"/>
        <family val="2"/>
      </rPr>
      <t xml:space="preserve"> Causa : Al cierre del ejercicio fiscal 2013 se han capacitado a 28,750 mujeres beneficiarias, logrando superar en 17.47 por ciento la meta anual establecida. Lo anterior se explica debido a que:       - Se elaboró un programa de trabajo que contempla planeación, logística, operación, seguimiento y resultados. Los Guías CAAS de las Delegaciones Estatales han realizaron una programación de rutas óptima, favoreciendo la asistencia y participación de un mayor número de mujeres y hombres en la capacitación. Asimismo, se incrementaron el número de sedes en las que se impartió la capacitación.     Efecto: Positivo. La capacitación es un requisito obligatorio para las beneficiarias del programa, el cual se encuentra establecido en la normatividad y proporciona a cada grupo las herramientas que coadyuvan a la permanencia de su proyecto productivo. La capacitación proporciona herramientas a las beneficiarias para la implementación y puesta en marcha de proyectos productivos que les permitan operar efectiva y eficientemente los recursos otorgados. Otros Motivos:</t>
    </r>
  </si>
  <si>
    <r>
      <t xml:space="preserve">Porcentaje de proyectos productivos procedentes dictaminados.
</t>
    </r>
    <r>
      <rPr>
        <sz val="10"/>
        <rFont val="Soberana Sans"/>
        <family val="2"/>
      </rPr>
      <t xml:space="preserve"> Causa : A fin de analizar la viabilidad de mercado, técnica, sustentable y financiera de los proyectos productivos, al mes de diciembre se dictaminaron 29,252 proyectos productivos, logrando superar en 6.8 por ciento la meta anual programada. Lo anterior se explica porque:       - Se estableció un programa de trabajo que contempló la planeación, operación, seguimiento y monitoreo del proceso de dictaminación.      Efecto: Positivo. La dictaminación de proyectos productivos procedentes se realiza como criterio de elegibilidad a fin de analizar la viabilidad de mercado, técnica, financiera y sustentable de los mismos, coadyuvando a asegurar la efectividad en su implementación. Otros Motivos:</t>
    </r>
  </si>
  <si>
    <r>
      <t xml:space="preserve">Porcentaje de proyectos productivos apoyados en el ejercicio fiscal del año anterior supervisados.
</t>
    </r>
    <r>
      <rPr>
        <sz val="10"/>
        <rFont val="Soberana Sans"/>
        <family val="2"/>
      </rPr>
      <t xml:space="preserve"> Causa : Con la finalidad de verificar la existencia e integración del grupo, la aplicación del recurso en los conceptos de inversión autorizados y el grado de avance del proyecto productivo, de enero a diciembre se supervisaron 5,168 proyectos productivos apoyados en 2012, cifra que representa el 97 por ciento del total de proyectos apoyados en el fiscal 2012; logrando superar en 21.2 por ciento la meta anual establecida. Lo anterior se explica principalmente porque:        - Se diseñó e implementó el Sistema de Seguimiento de Supervisión (SISS) el cual favoreció a la realización, análisis y sistematización de la información obtenida en las visitas de supervisión de seguimiento. Asimismo, se capacitaron a todos los supervisores sobre las herramientas y método de trabajo para llevar acabo la supervisión de proyectos productivos. Se creó la figura del supervisor regional que permitió dar seguimiento puntual y cercano al trabajo de los supervisores de todo el país.     Efecto: Positivo. La supervisión de proyectos productivos apoyados en el ejercicio fiscal del año anterior contribuye a verificar en campo la aplicación de los recursos entregados al grupo, la integración del mismo y el grado de avance del proyecto productivo, permitiendo establecer su estatus de operación y favorecer la continuidad y el desarrollo de los mismos; Adicionalmente, identifica a los técnicos  asistencia y acompañamiento adecuado a los grupos de mujeres. Otros Motivos:</t>
    </r>
  </si>
  <si>
    <t>S117</t>
  </si>
  <si>
    <t>Programa de Vivienda Rural</t>
  </si>
  <si>
    <t>Contribuir a que los hogares rurales que habitan en localidades de alta y muy alta marginación de hasta 5,000 habitantes en situación de pobreza con ingresos por debajo de la línea de bienestar mínimo y con carencia por calidad y espacios en la vivienda mejoren su calidad de vida a través de acciones de vivienda.</t>
  </si>
  <si>
    <t>Hogares mexicanos en situación de pobreza con ingresos por debajo de la línea de bienestar mínimo y con carencia de calidad y espacios en la vivienda que habitan en localidades rurales de alta y muy alta marginación de hasta 5,000 habitantes mejoran sus condiciones habitacionales</t>
  </si>
  <si>
    <r>
      <t xml:space="preserve">Porcentaje de localidades atendidas </t>
    </r>
    <r>
      <rPr>
        <i/>
        <sz val="10"/>
        <color indexed="30"/>
        <rFont val="Soberana Sans"/>
        <family val="3"/>
      </rPr>
      <t xml:space="preserve">
</t>
    </r>
  </si>
  <si>
    <t>(Localidades objetivo Atendidas acumulado/ Localidades objetivo totales) * 100.</t>
  </si>
  <si>
    <t>Índice</t>
  </si>
  <si>
    <t>A Subsidios federales de vivienda para ampliación y mejoramientos entregados</t>
  </si>
  <si>
    <r>
      <t>Porcentaje de Hogares beneficiados con Ampliación o Mejoramiento de Vivienda</t>
    </r>
    <r>
      <rPr>
        <i/>
        <sz val="10"/>
        <color indexed="30"/>
        <rFont val="Soberana Sans"/>
        <family val="3"/>
      </rPr>
      <t xml:space="preserve">
</t>
    </r>
  </si>
  <si>
    <r>
      <t>Hogares beneficiados con mejoramiento o ampliación de vivienda</t>
    </r>
    <r>
      <rPr>
        <i/>
        <sz val="10"/>
        <color indexed="30"/>
        <rFont val="Soberana Sans"/>
        <family val="3"/>
      </rPr>
      <t xml:space="preserve">
Indicador Seleccionado</t>
    </r>
  </si>
  <si>
    <t xml:space="preserve">Número de hogares que fueron beneficiados en la modalidad de ampliación o mejoramiento. </t>
  </si>
  <si>
    <r>
      <t>Aportación anual en ampliación y mejoramiento de vivienda</t>
    </r>
    <r>
      <rPr>
        <i/>
        <sz val="10"/>
        <color indexed="30"/>
        <rFont val="Soberana Sans"/>
        <family val="3"/>
      </rPr>
      <t xml:space="preserve">
</t>
    </r>
  </si>
  <si>
    <t>(Número de subsidios otorgados para ampliación y mejoramiento de vivienda/ Necesidades de mejora de la calidad y espacios de la vivienda  en los hogares en pobreza con ingresos por debajo de la línea de bienestar minimo con carencia de calidad y espacios en la vivienda a nivel nacional)*100</t>
  </si>
  <si>
    <r>
      <t>Aportación anual en la colocación de Pisos Firmes.</t>
    </r>
    <r>
      <rPr>
        <i/>
        <sz val="10"/>
        <color indexed="30"/>
        <rFont val="Soberana Sans"/>
        <family val="3"/>
      </rPr>
      <t xml:space="preserve">
</t>
    </r>
  </si>
  <si>
    <t>(Número de viviendas dotadas de piso firme  /  Número de hogares con carencia por material de pisos y con ingresos por debajo de la línea de bienestar minimo )*100</t>
  </si>
  <si>
    <r>
      <t>Aportación Anual  en la colocación  de techos con materiales de calidad.</t>
    </r>
    <r>
      <rPr>
        <i/>
        <sz val="10"/>
        <color indexed="30"/>
        <rFont val="Soberana Sans"/>
        <family val="3"/>
      </rPr>
      <t xml:space="preserve">
</t>
    </r>
  </si>
  <si>
    <t>Número de viviendas dotadas de techos de lámina metálica, lámina de asbesto, Teja, Losa de concreto acumuladas / Número de hogares con carencia por material de techos y con ingresos por debajo de la línea de bienestar minimo)*100</t>
  </si>
  <si>
    <r>
      <t>Aportación anual en la colocación de muros con materiales de calidad</t>
    </r>
    <r>
      <rPr>
        <i/>
        <sz val="10"/>
        <color indexed="30"/>
        <rFont val="Soberana Sans"/>
        <family val="3"/>
      </rPr>
      <t xml:space="preserve">
</t>
    </r>
  </si>
  <si>
    <t>Número de viviendas dotadas de Muros de adobe, tabique , ladrillo o block piedra o concreto /  Número de hogares con carencia por material de muros  y con ingresos por debajo de la línea de bienestar minimo )*100</t>
  </si>
  <si>
    <t>B Subsidios federales de Vivienda para la edificación de una Unidad Básica de Vivienda Rural (UBVR) entregados</t>
  </si>
  <si>
    <r>
      <t>Porcentaje de subisdios otorgados en la modalidad de Unidad Basica de Vivienda</t>
    </r>
    <r>
      <rPr>
        <i/>
        <sz val="10"/>
        <color indexed="30"/>
        <rFont val="Soberana Sans"/>
        <family val="3"/>
      </rPr>
      <t xml:space="preserve">
</t>
    </r>
  </si>
  <si>
    <t>(Numero de subsidios otorgados en la modalidad de UBVR/Numero total de subsidios otorgados por el Programa)*100</t>
  </si>
  <si>
    <r>
      <t>Hogares beneficiados con Vivienda</t>
    </r>
    <r>
      <rPr>
        <i/>
        <sz val="10"/>
        <color indexed="30"/>
        <rFont val="Soberana Sans"/>
        <family val="3"/>
      </rPr>
      <t xml:space="preserve">
Indicador Seleccionado</t>
    </r>
  </si>
  <si>
    <t>Número de hogares beneficiados con una Unidad Básica de Vivienda (UBV)</t>
  </si>
  <si>
    <r>
      <t>Aportación anual en vivienda nueva a nivel nacional.</t>
    </r>
    <r>
      <rPr>
        <i/>
        <sz val="10"/>
        <color indexed="30"/>
        <rFont val="Soberana Sans"/>
        <family val="3"/>
      </rPr>
      <t xml:space="preserve">
</t>
    </r>
  </si>
  <si>
    <t>(Número de subsidios otorgados para Vivienda Nueva /Necesidades de Vivienda Nueva en hogares en pobreza con ingresos por debajo de la línea de bienestar mínimo con carencia de calidad y espacios en la vivienda a nivel nacional)* 100</t>
  </si>
  <si>
    <t>A 1 Verificacion de Subsidios. Las actividades aplican a los dos componentes</t>
  </si>
  <si>
    <r>
      <t xml:space="preserve">Porcentaje de subsidios verificados </t>
    </r>
    <r>
      <rPr>
        <i/>
        <sz val="10"/>
        <color indexed="30"/>
        <rFont val="Soberana Sans"/>
        <family val="3"/>
      </rPr>
      <t xml:space="preserve">
</t>
    </r>
  </si>
  <si>
    <t>(Acciones de vivienda entregadas y verificadas del año anterior / Total de acciones de vivienda entregadas durante el ejercicio fiscal anterior)* 100</t>
  </si>
  <si>
    <t>A 2 Promoción de Comités de Contraloría Social . Las actividades aplican para los dos componentes</t>
  </si>
  <si>
    <t>(Presupuesto vigilado y ejercido a través de Comités de Contraloría Social /Presupuesto ejercido)*100</t>
  </si>
  <si>
    <t>A 3 Difusión del programa realizada a nivel nacional. Las actividades aplican para los dos componentes</t>
  </si>
  <si>
    <r>
      <t>Cobertura de difusión del programa a instancias ejecutoras</t>
    </r>
    <r>
      <rPr>
        <i/>
        <sz val="10"/>
        <color indexed="30"/>
        <rFont val="Soberana Sans"/>
        <family val="3"/>
      </rPr>
      <t xml:space="preserve">
</t>
    </r>
  </si>
  <si>
    <t>(Entidades federativas donde se ha dado a conocer el programa ante instancias participantes en los primeros meses del año /Entidades federativas)*100</t>
  </si>
  <si>
    <t>A 4 Envío de Planes de trabajo anuales por la Instancia Auxiliar a la Instancia Normativa. Las actividades aplican para los dos componentes</t>
  </si>
  <si>
    <t>(Número de acciones en Planes de trabajo autorizadas en el SIDI/ Número acciones autorizadas por la Instancia normativa)*100</t>
  </si>
  <si>
    <t>A 5 Recursos autorizados y transferidos de la Instancia Normativa a la Instancia Ejecutora.</t>
  </si>
  <si>
    <r>
      <t>Dias habiles promedio para la ministracion del recurso.</t>
    </r>
    <r>
      <rPr>
        <i/>
        <sz val="10"/>
        <color indexed="30"/>
        <rFont val="Soberana Sans"/>
        <family val="3"/>
      </rPr>
      <t xml:space="preserve">
</t>
    </r>
  </si>
  <si>
    <t>(Suma de días hábiles transcurridos entre la entrega del bono al beneficiario y la ministración del recurso /Total de beneficiarios)</t>
  </si>
  <si>
    <t>A 6 Subsidios procesados y entregados a los beneficiarios</t>
  </si>
  <si>
    <t>A 7 Subsidios otorgados a grupos vulnerables.</t>
  </si>
  <si>
    <t>(Número de subsidios otorgados a población de municipios indígenas / Número de subsidios totales entregados) * 100</t>
  </si>
  <si>
    <r>
      <t>Porcentaje de subsidios dirigidos a población con alguna discapacidad</t>
    </r>
    <r>
      <rPr>
        <i/>
        <sz val="10"/>
        <color indexed="30"/>
        <rFont val="Soberana Sans"/>
        <family val="3"/>
      </rPr>
      <t xml:space="preserve">
</t>
    </r>
  </si>
  <si>
    <t>(Número otorgados a población con alguna discapacidad / Número de subsidios totales entregados) * 100</t>
  </si>
  <si>
    <r>
      <t xml:space="preserve">Porcentaje de localidades atendidas 
</t>
    </r>
    <r>
      <rPr>
        <sz val="10"/>
        <rFont val="Soberana Sans"/>
        <family val="2"/>
      </rPr>
      <t xml:space="preserve"> Causa : Derivado de la firma de un convenio de colaboración con la Comisión Nacional para el Desarrollo de los Pueblos Indígenas (CDI),  se fomento la participación en el programa de municipios indígenas, por lo tanto se supero la meta del indicador. Efecto: El Programa Vivienda Rural, contribuyó a que 5,087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Con las acciones de ampliación y mejoramiento para vivienda, como: piso firme, techo de lámina o de losa de concreto, muros y otras acciones para mejoramiento de vivienda con materiales de calidad; el Programa Vivienda Rural mejoró las condiciones habitacionales de aproximadamente 54,585 beneficiarios que viven localidades rurales.       Asimismo, se contribuyó en mejorar la calidad de vida de aproximadamente        89,582 personas que vivían en situación de hacinamiento, al otorgar 23,029 acciones para ampliaciones de vivienda, reduciendo así la relación de personas por cuarto en una vivienda.      Cabe mencionar que el otorgamiento de acciones en esta modalidad, ha permitido reactivar la economía local ya que incrementa la creación de empleos directos e indirectos por la construcción de las mismas.  Otros Motivos:</t>
    </r>
  </si>
  <si>
    <r>
      <t xml:space="preserve">Índice promedio de hacinamiento de la población objetivo que fue atendida por el programa
</t>
    </r>
    <r>
      <rPr>
        <sz val="10"/>
        <rFont val="Soberana Sans"/>
        <family val="2"/>
      </rPr>
      <t xml:space="preserve"> Causa : Derivado de la re sectorización del Programa se retrasó el inicio de la operación por lo que no se alcanzó la meta del indicador. Así mismo, se otorgaron más subsidios para mejoramiento de vivienda. Efecto: El Programa Vivienda Rural, contribuyó a que 5,087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Con las acciones de ampliación y mejoramiento para vivienda, como: piso firme, techo de lámina o de losa de concreto, muros y otras acciones para mejoramiento de vivienda con materiales de calidad; el Programa Vivienda Rural mejoró las condiciones habitacionales de aproximadamente 54,585 beneficiarios que viven localidades rurales.       Asimismo, se contribuyó en mejorar la calidad de vida de aproximadamente 89,582 personas que vivían en situación de hacinamiento, al otorgar 23,029 acciones para ampliaciones de vivienda, reduciendo así la relación de personas por cuarto en una vivienda.    Otros Motivos:</t>
    </r>
  </si>
  <si>
    <r>
      <t xml:space="preserve">Porcentaje de Hogares beneficiados con Ampliación o Mejoramiento de Vivienda
</t>
    </r>
    <r>
      <rPr>
        <sz val="10"/>
        <rFont val="Soberana Sans"/>
        <family val="2"/>
      </rPr>
      <t xml:space="preserve"> Causa : Se priorizo la autorización de acciones de vivienda integrales, autorizandose un mayor número de Unidades de Básicas de Vivienda, por lo cual no se alcanzó la meta del indicador. Efecto: Con las acciones de ampliación y mejoramiento para vivienda, como: piso firme, techo de lámina o de losa de concreto, muros y otras acciones para mejoramiento de vivienda con materiales de calidad; el Programa Vivienda Rural mejoró las condiciones habitacionales de beneficiarios que viven localidades rurales.         Asimismo, se contribuyó en mejorar la calidad de vida de personas que vivían en situación de hacinamiento, al otorgar acciones para ampliaciones de vivienda, reduciendo así la relación de personas por cuarto en una vivienda.        De igual manera, con estas acciones el Programa Vivienda Rural ha contribuido en las Políticas Públicas del Gobierno Federal al beneficiar a habitantes de municipios identificados en la Cruzada Nacional contra el Hambre y a habitantes de los municipios del Programa para la Prevención Social de la Violencia y la Delincuencia.        Cabe mencionar que el otorgamiento de acciones en esta modalidad, ha permitido reactivar la economía local ya que incrementa la creación de empleos directos e indirectos por la construcción de las mismas.      Otros Motivos:</t>
    </r>
  </si>
  <si>
    <r>
      <t xml:space="preserve">Hogares beneficiados con mejoramiento o ampliación de vivienda
</t>
    </r>
    <r>
      <rPr>
        <sz val="10"/>
        <rFont val="Soberana Sans"/>
        <family val="2"/>
      </rPr>
      <t xml:space="preserve"> Causa : Se priorizo la autorización de acciones de vivienda integrales, autorizandose un mayor número de Unidades de Básicas de Vivienda Rural, por lo cual no se alcanzó la meta del indicador. Efecto: Con las acciones de ampliación y mejoramiento para vivienda, como: piso firme, techo de lámina o de losa de concreto, muros y otras acciones para mejoramiento de vivienda con materiales de calidad; el Programa Vivienda Rural mejoró las condiciones habitacionales de beneficiarios que viven localidades rurales.           Asimismo, se contribuyó en mejorar la calidad de vida de personas que vivían en situación de hacinamiento, al otorgar acciones para ampliaciones de vivienda, reduciendo así la relación de personas por cuarto en una vivienda.          De igual manera, con estas acciones el Programa Vivienda Rural ha contribuido en las Políticas Públicas del Gobierno Federal al beneficiar a habitantes de municipios identificados en la Cruzada Nacional contra el Hambre y a habitantes de los municipios del Programa para la Prevención Social de la Violencia y la Delincuencia.          Cabe mencionar que el otorgamiento de acciones en esta modalidad, ha permitido reactivar la economía local ya que incrementa la creación de empleos directos e indirectos por la construcción de las mismas.       Otros Motivos:</t>
    </r>
  </si>
  <si>
    <r>
      <t xml:space="preserve">Aportación anual en ampliación y mejoramiento de vivienda
</t>
    </r>
    <r>
      <rPr>
        <sz val="10"/>
        <rFont val="Soberana Sans"/>
        <family val="2"/>
      </rPr>
      <t xml:space="preserve"> Causa : Se priorizo la autorización de acciones de vivienda integrales, autorizandose un mayor número de Unidades de Básicas de Vivienda Rural, por lo cual no se alcanzó la meta del indicador. Efecto: Con las acciones de ampliación y mejoramiento para vivienda, como: piso firme, techo de lámina o de losa de concreto, muros y otras acciones para mejoramiento de vivienda con materiales de calidad; el Programa Vivienda Rural mejoró las condiciones habitacionales de beneficiarios que viven localidades rurales.         Asimismo, se contribuyó en mejorar la calidad de vida de personas que vivían en situación de hacinamiento, al otorgar acciones para ampliaciones de vivienda, reduciendo así la relación de personas por cuarto en una vivienda.        De igual manera, con estas acciones el Programa Vivienda Rural ha contribuido en las Políticas Públicas del Gobierno Federal al beneficiar a habitantes de municipios identificados en la Cruzada Nacional contra el Hambre y a habitantes de los municipios del Programa para la Prevención Social de la Violencia y la Delincuencia.        Cabe mencionar que el otorgamiento de acciones en esta modalidad, ha permitido reactivar la economía local ya que incrementa la creación de empleos directos e indirectos por la construcción de las mismas.      Otros Motivos:</t>
    </r>
  </si>
  <si>
    <r>
      <t xml:space="preserve">Aportación anual en la colocación de Pisos Firmes.
</t>
    </r>
    <r>
      <rPr>
        <sz val="10"/>
        <rFont val="Soberana Sans"/>
        <family val="2"/>
      </rPr>
      <t xml:space="preserve"> Causa : Se recibieron más solicitudes de las esperadas, es por esto que se superó la meta del indicador. Efecto: Con las acciones de ampliación y mejoramiento para vivienda, como: piso firme, techo de lámina o de losa de concreto, muros y otras acciones para mejoramiento de vivienda con materiales de calidad; el Programa Vivienda Rural mejoró las condiciones habitacionales de beneficiarios que viven localidades rurales.     Cabe mencionar que el otorgamiento de acciones en esta modalidad, ha permitido reactivar la economía local ya que incrementa la creación de empleos directos e indirectos por la construcción de las mismas.  Otros Motivos:</t>
    </r>
  </si>
  <si>
    <r>
      <t xml:space="preserve">Aportación Anual  en la colocación  de techos con materiales de calidad.
</t>
    </r>
    <r>
      <rPr>
        <sz val="10"/>
        <rFont val="Soberana Sans"/>
        <family val="2"/>
      </rPr>
      <t xml:space="preserve"> Causa : Se recibieron más solicitudes de las esperadas, es por esto que se superó la meta del indicador. Efecto: Con las acciones de ampliación y mejoramiento para vivienda, como: piso firme, techo de lámina o de losa de concreto, muros y otras acciones para mejoramiento de vivienda con materiales de calidad; el Programa Vivienda Rural mejoró las condiciones habitacionales de beneficiarios que viven localidades rurales.         Cabe mencionar que el otorgamiento de acciones en esta modalidad, ha permitido reactivar la economía local ya que incrementa la creación de empleos directos e indirectos por la construcción de las mismas.          Otros Motivos:</t>
    </r>
  </si>
  <si>
    <r>
      <t xml:space="preserve">Aportación anual en la colocación de muros con materiales de calidad
</t>
    </r>
    <r>
      <rPr>
        <sz val="10"/>
        <rFont val="Soberana Sans"/>
        <family val="2"/>
      </rPr>
      <t xml:space="preserve"> Causa : Se recibieron más solicitudes de las esperadas, es por esto que se superó la meta del indicador. Efecto: Con las acciones de ampliación y mejoramiento para vivienda, como: piso firme, techo de lámina o de losa de concreto, muros y otras acciones para mejoramiento de vivienda con materiales de calidad; el Programa Vivienda Rural mejoró las condiciones habitacionales de beneficiarios que viven localidades rurales.         Cabe mencionar que el otorgamiento de acciones en esta modalidad, ha permitido reactivar la economía local ya que incrementa la creación de empleos directos e indirectos por la construcción de las mismas.  Otros Motivos:</t>
    </r>
  </si>
  <si>
    <r>
      <t xml:space="preserve">Porcentaje de subisdios otorgados en la modalidad de Unidad Basica de Vivienda
</t>
    </r>
    <r>
      <rPr>
        <sz val="10"/>
        <rFont val="Soberana Sans"/>
        <family val="2"/>
      </rPr>
      <t xml:space="preserve"> Causa : Con la finalidad de dar seguimiento a la Política de Vivienda Federal se priorizo la autorización de acciones de vivienda por lo que se supero la meta del indicador. Efecto: El Programa Vivienda Rural, contribuyó a que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Rural, se encuentran ubicadas en los municipios del Programa para la Prevención Social de la Violencia y la Delincuencia, a fin de contribuir en el Programa Transversal para combatir las adicciones, rescatar los espacios públicos y promover proyectos productivos.        Es importante recalcar que el Programa Vivienda Rural, ejercicio fiscal 2013, ha sido el año en el que mayor número de subsidios para vivienda nueva ha otorgado desde el año 2007.         Lo anterior, ha permitido contribuir en la creación de empleos directos e indirectos con la construcción de acciones de vivienda nueva; permitiendo reactivar la economía local.     Otros Motivos:</t>
    </r>
  </si>
  <si>
    <r>
      <t xml:space="preserve">Hogares beneficiados con Vivienda
</t>
    </r>
    <r>
      <rPr>
        <sz val="10"/>
        <rFont val="Soberana Sans"/>
        <family val="2"/>
      </rPr>
      <t xml:space="preserve"> Causa : Con la finalidad de dar seguimiento a la Política de Vivienda Federal se priorizo la autorización de acciones de vivienda por lo que se supero la meta del indicador. Efecto: El Programa Vivienda Rural, contribuyó a que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Rural, se encuentran ubicadas en los municipios del Programa para la Prevención Social de la Violencia y la Delincuencia, a fin de contribuir en el Programa Transversal para combatir las adicciones, rescatar los espacios públicos y promover proyectos productivos.          Es importante recalcar que el Programa Vivienda Rural, ejercicio fiscal 2013, ha sido el año en el que mayor número de subsidios para vivienda nueva ha otorgado desde el año 2007.           Lo anterior, ha permitido contribuir en la creación de empleos directos e indirectos con la construcción de acciones de vivienda nueva; permitiendo reactivar la economía local.      Otros Motivos:</t>
    </r>
  </si>
  <si>
    <r>
      <t xml:space="preserve">Aportación anual en vivienda nueva a nivel nacional.
</t>
    </r>
    <r>
      <rPr>
        <sz val="10"/>
        <rFont val="Soberana Sans"/>
        <family val="2"/>
      </rPr>
      <t xml:space="preserve"> Causa : Con la finalidad de dar seguimiento a la Política de Vivienda Federal se priorizo la autorización de acciones de vivienda por lo que se supero la meta del indicador. Efecto: El Programa Vivienda Rural, contribuyó a que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Rural, se encuentran ubicadas en los municipios del Programa para la Prevención Social de la Violencia y la Delincuencia, a fin de contribuir en el Programa Transversal para combatir las adicciones, rescatar los espacios públicos y promover proyectos productivos.        Es importante recalcar que el Programa Vivienda Rural, ejercicio fiscal 2013, ha sido el año en el que mayor número de subsidios para vivienda nueva ha otorgado desde el año 2007.         Lo anterior, ha permitido contribuir en la creación de empleos directos e indirectos con la construcción de acciones de vivienda nueva; permitiendo reactivar la economía local.     Otros Motivos:</t>
    </r>
  </si>
  <si>
    <r>
      <t xml:space="preserve">Porcentaje de subsidios verificados 
</t>
    </r>
    <r>
      <rPr>
        <sz val="10"/>
        <rFont val="Soberana Sans"/>
        <family val="2"/>
      </rPr>
      <t xml:space="preserve"> Causa : Derivado de la re sectorización del FONHAPO, se atrasaron las actividades de verificación; sin embargo, se reforzó dicha actividad con la contratación de un externo (Universidad Intercultural del Estado de México). Efecto: Con el apoyo de verificadores externos, permite verificar en gabinete y en campo el cumplimiento de la normatividad que aplica a los programas de subsidio de vivienda, la existencia de los documentos que comprueben el uso de los apoyos, la satisfacción de quienes reciben los subsidios, los cambios en su calidad de vida ¿auto reportada¿, así como verificar que se alcanzan los objetivos de ambos programas. Otros Motivos:</t>
    </r>
  </si>
  <si>
    <r>
      <t xml:space="preserve">Porcentaje de presupuesto vigilado a través de la implementación de Comités de Contraloría social
</t>
    </r>
    <r>
      <rPr>
        <sz val="10"/>
        <rFont val="Soberana Sans"/>
        <family val="2"/>
      </rPr>
      <t xml:space="preserve"> Causa : Se cumplió con la meta establecida Efecto: El Programa Vivienda Rural, contribuyó a que 5,087 hogares mexicanos en situación de pobreza con ingresos por debajo de la línea de bienestar mínimo y con carencia por calidad y espacios de la vivienda mejoraran su calidad de vida al otorgarles acciones de vivienda nueva. De estos, el 80.83% de los subsidios fueron destinados a localidades indígenas, siendo los hogares rurales los que presentan mayormente esta carencia.      Asimismo, ha contribuido de manera directa en la ¿Cruzada Nacional contra el Hambre¿ al otorgar 2,951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Rural, se encuentran ubicadas en los municipios del Programa para la Prevención Social de la Violencia y la Delincuencia, a fin de contribuir en el Programa Transversal para combatir las adicciones, rescatar los espacios públicos y promover proyectos productivos.      Es importante recalcar que el Programa Vivienda Rural, ejercicio fiscal 2013, ha sido el año en el que mayor número de subsidios para vivienda nueva ha otorgado desde el año 2007.       Lo anterior, ha permitido contribuir en la creación de empleos directos e indirectos con la construcción de acciones de vivienda nueva; permitiendo reactivar la economía local.    Otros Motivos:</t>
    </r>
  </si>
  <si>
    <r>
      <t xml:space="preserve">Cobertura de difusión del programa a instancias ejecutoras
</t>
    </r>
    <r>
      <rPr>
        <sz val="10"/>
        <rFont val="Soberana Sans"/>
        <family val="2"/>
      </rPr>
      <t xml:space="preserve"> Causa : Se cumplió con la meta, derivado de que se dio a conocer el programa en las 32 entidades federativas Efecto: El Programa Vivienda Rural, contribuyó a que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Es importante recalcar que el Programa Vivienda Rural, ejercicio fiscal 2013, ha sido el año en el que mayor número de subsidios para vivienda nueva ha otorgado desde el año 2007.       Lo anterior, ha permitido contribuir en la creación de empleos directos e indirectos con la construcción de acciones de vivienda nueva; permitiendo reactivar la economía local.    Otros Motivos:</t>
    </r>
  </si>
  <si>
    <r>
      <t xml:space="preserve">Porcentaje de Avance en la validación de Planes de Trabajo Anuales.
</t>
    </r>
    <r>
      <rPr>
        <sz val="10"/>
        <rFont val="Soberana Sans"/>
        <family val="2"/>
      </rPr>
      <t xml:space="preserve"> Causa : Se buscó agilizar la operación del Programa, mediante la disminución de tiempo de transferencias a las instancias ejecutoras, por lo que se superó la meta del indicador. Efecto: El Programa Vivienda Rural, contribuyó a que 5,087 hogares mexicanos en situación de pobreza con ingresos por debajo de la línea de bienestar mínimo y con carencia por calidad y espacios de la vivienda mejoraran su calidad de vida al otorgarles acciones de vivienda nueva. De estos, el 80.83% de los subsidios fueron destinados a localidades indígenas, siendo los hogares rurales los que presentan mayormente esta carencia.      Asimismo, ha contribuido de manera directa en la ¿Cruzada Nacional contra el Hambre¿ al otorgar 2,951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Rural, se encuentran ubicadas en los municipios del Programa para la Prevención Social de la Violencia y la Delincuencia, a fin de contribuir en el Programa Transversal para combatir las adicciones, rescatar los espacios públicos y promover proyectos productivos.      Es importante recalcar que el Programa Vivienda Rural, ejercicio fiscal 2013, ha sido el año en el que mayor número de subsidios para vivienda nueva ha otorgado desde el año 2007.       Lo anterior, ha permitido contribuir en la creación de empleos directos e indirectos con la construcción de acciones de vivienda nueva; permitiendo reactivar la economía local.    Otros Motivos:</t>
    </r>
  </si>
  <si>
    <r>
      <t xml:space="preserve">Dias habiles promedio para la ministracion del recurso.
</t>
    </r>
    <r>
      <rPr>
        <sz val="10"/>
        <rFont val="Soberana Sans"/>
        <family val="2"/>
      </rPr>
      <t xml:space="preserve"> Causa : Se buscó agilizar la operación del Programa, mediante la disminución de tiempo de transferencias a las instancias ejecutoras, por lo que se superó la meta del indicador. (Indicador descendente) Efecto: Se entregó el subsidio a los beneficiarios en un menor tiempo de lo esperado, lo que permitió reactivar la economía en un corto periodo de tiempo. Otros Motivos:</t>
    </r>
  </si>
  <si>
    <r>
      <t xml:space="preserve">Bonos entregados a los beneficiarios
</t>
    </r>
    <r>
      <rPr>
        <sz val="10"/>
        <rFont val="Soberana Sans"/>
        <family val="2"/>
      </rPr>
      <t xml:space="preserve"> Causa : Al recibir ampliaciones presupuestales, permitió beneficiar a un mayor número de personas que conforman la población objetivo del programa. Efecto: El Programa Vivienda Rural, contribuyó a que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Otros Motivos:</t>
    </r>
  </si>
  <si>
    <r>
      <t xml:space="preserve">Porcentaje de subsidios dirigidos a mujeres jefas de familia.
</t>
    </r>
    <r>
      <rPr>
        <sz val="10"/>
        <rFont val="Soberana Sans"/>
        <family val="2"/>
      </rPr>
      <t xml:space="preserve"> Causa :  El número de solicitudes realizadas por mujeres jefas de familia fue mayor a las estimadas por lo cual se alcanzó la meta del indicador. Efecto: Al otorgar mayor subsidios a las mujeres, contribuimos a la política pública de igualdad de género. Otros Motivos:</t>
    </r>
  </si>
  <si>
    <r>
      <t xml:space="preserve">Porcentaje de subsidios dirigidos a población de municipios indígenas
</t>
    </r>
    <r>
      <rPr>
        <sz val="10"/>
        <rFont val="Soberana Sans"/>
        <family val="2"/>
      </rPr>
      <t xml:space="preserve"> Causa : Derivado de la firma de un convenio de colaboración con la Comisión Nacional para el Desarrollo de los Pueblos Indígenas (CDI),  se fomento la participación en el programa de municipios indígenas, por lo tanto se supero la meta del indicador. Efecto: El Programa Vivienda Rural, contribuyó a que hogares mexicanos en situación de pobreza con ingresos por debajo de la línea de bienestar mínimo y con carencia por calidad y espacios de la vivienda mejoraran su calidad de vida al otorgarles acciones de vivienda nueva. De estos, más del 50% de los subsidios fueron destinados a localidades indígenas, siendo los hogares rurales los que presentan mayormente esta carencia.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Rural, se encuentran ubicadas en los municipios del Programa para la Prevención Social de la Violencia y la Delincuencia, a fin de contribuir en el Programa Transversal para combatir las adicciones, rescatar los espacios públicos y promover proyectos productivos.          Es importante recalcar que el Programa Vivienda Rural, ejercicio fiscal 2013, ha sido el año en el que mayor número de subsidios para vivienda nueva ha otorgado desde el año 2007.           Lo anterior, ha permitido contribuir en la creación de empleos directos e indirectos con la construcción de acciones de vivienda nueva; permitiendo reactivar la economía local.      Otros Motivos:</t>
    </r>
  </si>
  <si>
    <r>
      <t xml:space="preserve">Porcentaje de subsidios dirigidos a población con alguna discapacidad
</t>
    </r>
    <r>
      <rPr>
        <sz val="10"/>
        <rFont val="Soberana Sans"/>
        <family val="2"/>
      </rPr>
      <t xml:space="preserve"> Causa :  A la fecha no se cuenta con información referente a beneficiarios con alguna discapacidad, ya que se está en proceso de conciliación. Efecto: El Programa Vivienda Digna, contribuyó a que hogares mexicanos en situación de pobreza con ingresos por debajo de la línea de bienestar y con carencia por calidad y espacios de la vivienda mejoraran su calidad de vida con acciones de vivienda nueva.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Otros Motivos:</t>
    </r>
  </si>
  <si>
    <t>S175</t>
  </si>
  <si>
    <t>Rescate de espacios públicos</t>
  </si>
  <si>
    <t>901-Dirección General de Equipamiento e Infraestructura en Zonas Urbano-Marginadas</t>
  </si>
  <si>
    <t>Perspectiva de Género</t>
  </si>
  <si>
    <t>Contribuir a mejorar la percepción de seguridad ciudadana, en las ciudades y zonas metropolitanas, mediante el rescate de espacios públicos en condición de deterioro, abandono o inseguridad que sean utilizados preferentemente por la población en situación de pobreza multidimensional.</t>
  </si>
  <si>
    <r>
      <t>Porcentaje de hogares que manifiestan percepción de inseguridad en los espacios públicos intervenidos.</t>
    </r>
    <r>
      <rPr>
        <i/>
        <sz val="10"/>
        <color indexed="30"/>
        <rFont val="Soberana Sans"/>
        <family val="3"/>
      </rPr>
      <t xml:space="preserve">
</t>
    </r>
  </si>
  <si>
    <t>(Número de hogares en torno a los espacios públicos con percepción de inseguridad en el espacio público/ Número de hogares en torno a los espacios públicos)*100.</t>
  </si>
  <si>
    <t>Espacios públicos con deterioro, abandono  o inseguridad en ciudades, son rescatados para el uso y disfrute de la comunidad y, con ello,  propiciar la sana convivencia, participación comunitaria e integracion vecinal como atributos de la cohesión social.</t>
  </si>
  <si>
    <r>
      <t>Porcentaje de hogares que asisten a los espacios públicos intervenidos</t>
    </r>
    <r>
      <rPr>
        <i/>
        <sz val="10"/>
        <color indexed="30"/>
        <rFont val="Soberana Sans"/>
        <family val="3"/>
      </rPr>
      <t xml:space="preserve">
</t>
    </r>
  </si>
  <si>
    <t>(Número de hogares que asisten a los espacios públicos / Número de hogares en torno a los espacios públicos )*100</t>
  </si>
  <si>
    <r>
      <t xml:space="preserve">Personas beneficiadas con la intervención de espacios públicos </t>
    </r>
    <r>
      <rPr>
        <i/>
        <sz val="10"/>
        <color indexed="30"/>
        <rFont val="Soberana Sans"/>
        <family val="3"/>
      </rPr>
      <t xml:space="preserve">
</t>
    </r>
  </si>
  <si>
    <t>(Número de personas beneficiadas con espacios públicos de intervención general + número de personas beneficiadas con espacios públicos de consolidación)</t>
  </si>
  <si>
    <t>Persona</t>
  </si>
  <si>
    <r>
      <t>Porcentaje de hogares que consideran muy unida la relación entre vecinos.</t>
    </r>
    <r>
      <rPr>
        <i/>
        <sz val="10"/>
        <color indexed="30"/>
        <rFont val="Soberana Sans"/>
        <family val="3"/>
      </rPr>
      <t xml:space="preserve">
</t>
    </r>
  </si>
  <si>
    <t>(Número de hogares que clasifican como muy unida la relación entre vecinos / Número de hogares en torno a los espacios públicos)* 100</t>
  </si>
  <si>
    <r>
      <t>Porcentaje de hogares que participan en las actividades realizadas en los espacios públicos</t>
    </r>
    <r>
      <rPr>
        <i/>
        <sz val="10"/>
        <color indexed="30"/>
        <rFont val="Soberana Sans"/>
        <family val="3"/>
      </rPr>
      <t xml:space="preserve">
</t>
    </r>
  </si>
  <si>
    <t>(Número de hogares que manifiestan participar en actividades realizadas en los espacios públicos/ Número de hogares en torno a los espacios públicos)* 100</t>
  </si>
  <si>
    <t>A Obras de mejoramiento físico en espacios públicos realizadas.</t>
  </si>
  <si>
    <r>
      <t>Porcentaje de hogares satisfechos con las condiciones físicas de los espacios públicos.</t>
    </r>
    <r>
      <rPr>
        <i/>
        <sz val="10"/>
        <color indexed="30"/>
        <rFont val="Soberana Sans"/>
        <family val="3"/>
      </rPr>
      <t xml:space="preserve">
</t>
    </r>
  </si>
  <si>
    <t>(Número de hogares que califican como muy buenas o buenas las condiciones físicas de los espacios públicos/ Número de hogares en torno a los espacios públicos)*100</t>
  </si>
  <si>
    <t>Gestión-Calidad-Anual</t>
  </si>
  <si>
    <r>
      <t>Espacios Públicos de intervención general</t>
    </r>
    <r>
      <rPr>
        <i/>
        <sz val="10"/>
        <color indexed="30"/>
        <rFont val="Soberana Sans"/>
        <family val="3"/>
      </rPr>
      <t xml:space="preserve">
</t>
    </r>
  </si>
  <si>
    <t>Número de espacios públicos de intervención general</t>
  </si>
  <si>
    <t>Espacio</t>
  </si>
  <si>
    <r>
      <t>Espacios Públicos Intervenidos.</t>
    </r>
    <r>
      <rPr>
        <i/>
        <sz val="10"/>
        <color indexed="30"/>
        <rFont val="Soberana Sans"/>
        <family val="3"/>
      </rPr>
      <t xml:space="preserve">
Indicador Seleccionado</t>
    </r>
  </si>
  <si>
    <t>Número de espacios públicos intervenidos</t>
  </si>
  <si>
    <r>
      <t>Porcentaje de municipios y delegaciones atendidos por el programa</t>
    </r>
    <r>
      <rPr>
        <i/>
        <sz val="10"/>
        <color indexed="30"/>
        <rFont val="Soberana Sans"/>
        <family val="3"/>
      </rPr>
      <t xml:space="preserve">
</t>
    </r>
  </si>
  <si>
    <t>(Número de municipios y delegaciones que son atendidos por el Programa/Total de municipios y delegaciones que constituyen el universo potencial de actuación del Programa)*100</t>
  </si>
  <si>
    <t>B Acciones de impulso a la organización  social,  y seguridad comunitaria,   prevención de conductas de riesgo, violencia y promoción de la equidad de género realizadas en los espacios públicos y su entorno</t>
  </si>
  <si>
    <r>
      <t xml:space="preserve">Promedio de acciones de impulso a la organización social  y seguridad comunitaria, prevención de conductas de riesgo, violencia y promoción de la equidad de género realizadas por espacio público intervenido. </t>
    </r>
    <r>
      <rPr>
        <i/>
        <sz val="10"/>
        <color indexed="30"/>
        <rFont val="Soberana Sans"/>
        <family val="3"/>
      </rPr>
      <t xml:space="preserve">
</t>
    </r>
  </si>
  <si>
    <t>(Número de acciones de impulso a la organización social y seguridad comunitaria,  prevención de conductas de riesgo, violencia y promoción de la equidad de género realizadas) / (Total de espacios públicos intervenidos)</t>
  </si>
  <si>
    <r>
      <t xml:space="preserve">Porcentaje de hogares que asisten a los espacios públicos y están satisfechos con las actividades realizadas. </t>
    </r>
    <r>
      <rPr>
        <i/>
        <sz val="10"/>
        <color indexed="30"/>
        <rFont val="Soberana Sans"/>
        <family val="3"/>
      </rPr>
      <t xml:space="preserve">
</t>
    </r>
  </si>
  <si>
    <t>(Número de hogares que califican como muy buenas o buenas las actividades realizadas en los espacios públicos / Número de hogares en torno a los espacios públicos que asiste a ellos y participa en las actividades en el espacio público) * 100</t>
  </si>
  <si>
    <t>A 1 Recepción, análisis y, en su caso, validación de proyectos de mejoramiento físico de espacios públicos.</t>
  </si>
  <si>
    <r>
      <t>Proyectos de mejoramiento físico de espacios públicos validados.</t>
    </r>
    <r>
      <rPr>
        <i/>
        <sz val="10"/>
        <color indexed="30"/>
        <rFont val="Soberana Sans"/>
        <family val="3"/>
      </rPr>
      <t xml:space="preserve">
</t>
    </r>
  </si>
  <si>
    <t>(Número de proyectos de mejoramiento físico validados)</t>
  </si>
  <si>
    <t>A 2 ACTIVIDAD TRANSVERSAL: Elaboración de material de apoyo para los municipios ejecutores y grupos coordinadores del programa dirigido al desarrollo de las distintas etapas de los proyectos de rescate de espacios públicos</t>
  </si>
  <si>
    <r>
      <t>Material de apoyo  entregado a los municipios ejecutores y grupos coordinadores para el desarrollo de las distintas etapas del Programa</t>
    </r>
    <r>
      <rPr>
        <i/>
        <sz val="10"/>
        <color indexed="30"/>
        <rFont val="Soberana Sans"/>
        <family val="3"/>
      </rPr>
      <t xml:space="preserve">
</t>
    </r>
  </si>
  <si>
    <t>(Número de materiales de apoyo entregado)</t>
  </si>
  <si>
    <t>Material de referencia</t>
  </si>
  <si>
    <t>A 3 ACTIVIDAD TRANSVERSAL: Supervisión y seguimiento de proyectos de mejoramiento físico y participación social y seguridad comunitaria en espacios públicos.</t>
  </si>
  <si>
    <r>
      <t>Porcentaje de espacios públicos donde se realizan visitas de supervisión y seguimiento a obras de mejoramiento físico y acciones de participación social y seguridad comunitaria.</t>
    </r>
    <r>
      <rPr>
        <i/>
        <sz val="10"/>
        <color indexed="30"/>
        <rFont val="Soberana Sans"/>
        <family val="3"/>
      </rPr>
      <t xml:space="preserve">
</t>
    </r>
  </si>
  <si>
    <t>(Número de espacios públicos donde se realizan visitas de supervisión y seguimiento / Total de espacios públicos intervenidos) * 100</t>
  </si>
  <si>
    <r>
      <t>Porcentaje de recursos federales comprobados por los ejecutores en las obras y acciones apoyadas</t>
    </r>
    <r>
      <rPr>
        <i/>
        <sz val="10"/>
        <color indexed="30"/>
        <rFont val="Soberana Sans"/>
        <family val="3"/>
      </rPr>
      <t xml:space="preserve">
</t>
    </r>
  </si>
  <si>
    <t>(Recursos federales comprobados por los ejecutores en las obras y acciones apoyadas / Recursos federales liberados a los ejecutores para la realización de las obras y acciones apoyadas) * 100</t>
  </si>
  <si>
    <t>A 4 ACTIVIDAD TRANSVERSAL: Capacitación a municipios ejecutores y grupos coordinadores del Programa en aspectos concernientes al mejoramiento físico y participación social y seguridad comunitaria.</t>
  </si>
  <si>
    <r>
      <t>Porcentaje de municipios  ejecutores capacitados, respecto al total de municipios ejecutores participantes en el Programa</t>
    </r>
    <r>
      <rPr>
        <i/>
        <sz val="10"/>
        <color indexed="30"/>
        <rFont val="Soberana Sans"/>
        <family val="3"/>
      </rPr>
      <t xml:space="preserve">
</t>
    </r>
  </si>
  <si>
    <t>(Número de municipios ejecutores capacitados/Total de municipios ejecutores participantes en el Programa) * 100</t>
  </si>
  <si>
    <r>
      <t>Porcentaje de personas que evalúan como bueno y excelente el cumplimiento de los objetivos establecidos para la capacitación.</t>
    </r>
    <r>
      <rPr>
        <i/>
        <sz val="10"/>
        <color indexed="30"/>
        <rFont val="Soberana Sans"/>
        <family val="3"/>
      </rPr>
      <t xml:space="preserve">
</t>
    </r>
  </si>
  <si>
    <t>(Número de personas que evalúan como bueno y excelente el cumplimiento de los objetivos establecidos para la capacitación/ Número total de personas que evalúan la capacitación)* 100</t>
  </si>
  <si>
    <r>
      <t>Porcentaje de grupos coordinadores del Programa capacitados respecto al total de grupos coordinadores del Programa</t>
    </r>
    <r>
      <rPr>
        <i/>
        <sz val="10"/>
        <color indexed="30"/>
        <rFont val="Soberana Sans"/>
        <family val="3"/>
      </rPr>
      <t xml:space="preserve">
</t>
    </r>
  </si>
  <si>
    <t>(Número de grupos coordinadores del Programa capacitados/ Número total de  grupos coordinadores del Programa) *100</t>
  </si>
  <si>
    <t>A 5 Presupuesto ejercido en obras de mejoramiento físico</t>
  </si>
  <si>
    <r>
      <t>Porcentaje de presupuesto ejercido en obras de mejoramiento físico de espacios públicos, respecto del presupuesto  total anual destinado a obras y acciones del Programa.</t>
    </r>
    <r>
      <rPr>
        <i/>
        <sz val="10"/>
        <color indexed="30"/>
        <rFont val="Soberana Sans"/>
        <family val="3"/>
      </rPr>
      <t xml:space="preserve">
</t>
    </r>
  </si>
  <si>
    <t>(Presupuesto ejercido en obras de mejoramiento físico de espacios públicos/ Presupuesto total anual destinado a obras y acciones del Programa) * 100</t>
  </si>
  <si>
    <t>B 6 Presupuesto ejercido en acciones de impulso a la organización social y seguridad comunitaria, prevención de conductas de riesgo, violencia y promoción de la equidad de género.</t>
  </si>
  <si>
    <r>
      <t xml:space="preserve">Porcentaje de presupuesto ejercido en acciones de impulso a la organización social  y seguridad comunitaria, prevención de conductas de riesgo, violencia y promoción de la equidad de género respecto del presupuesto  total anual destinado a obras y acciones del Programa. </t>
    </r>
    <r>
      <rPr>
        <i/>
        <sz val="10"/>
        <color indexed="30"/>
        <rFont val="Soberana Sans"/>
        <family val="3"/>
      </rPr>
      <t xml:space="preserve">
</t>
    </r>
  </si>
  <si>
    <t>(Presupuesto ejercido en acciones de impulso a la organización social y seguridad comunitaria, prevención de conductas de riesgo, violencia y promoción de la equidad de género / Presupuesto total anual destinado a obras y acciones del Programa) *100</t>
  </si>
  <si>
    <r>
      <t>Porcentaje de proyectos concluidos específicamente dirigidos a impulsar la organización social y seguridad comunitaria, prevención de conductas de riesgo, violencia y promoción de la equidad de género.</t>
    </r>
    <r>
      <rPr>
        <i/>
        <sz val="10"/>
        <color indexed="30"/>
        <rFont val="Soberana Sans"/>
        <family val="3"/>
      </rPr>
      <t xml:space="preserve">
</t>
    </r>
  </si>
  <si>
    <t>(Número de proyectos concluidos dirigidos a impulsar la organización social y seguridad comunitaria, prevención de conductas de riesgo, violencia y promoción de la equidad de género / Número de proyectos aprobados dirigidos a impulsar la organización social y seguridad comunitaria, prevención de conductas de riesgo, violencia y promoción de la equidad de género) * 100</t>
  </si>
  <si>
    <t>B 7 Recepción, análisis y, en su caso, validación de proyectos dirigidos a impulsar la organización social y seguridad comunitaria, prevención de conductas de riesgo, violencia y promoción de la equidad de género.</t>
  </si>
  <si>
    <r>
      <t>Proyectos dirigidos a impulsar la organización social y seguridad comunitaria, prevención de conductas  de riesgo, violencia y promoción de la equidad de género validados.</t>
    </r>
    <r>
      <rPr>
        <i/>
        <sz val="10"/>
        <color indexed="30"/>
        <rFont val="Soberana Sans"/>
        <family val="3"/>
      </rPr>
      <t xml:space="preserve">
</t>
    </r>
  </si>
  <si>
    <t>(Número de proyectos dirigidos a impulsar la organización social y seguridad comunitaria, prevención de conductas de riesgo, violencia y promoción de la equidad de género validados)</t>
  </si>
  <si>
    <r>
      <t xml:space="preserve">Porcentaje de hogares que manifiestan percepción de inseguridad en los espacios públicos intervenidos.
</t>
    </r>
    <r>
      <rPr>
        <sz val="10"/>
        <rFont val="Soberana Sans"/>
        <family val="2"/>
      </rPr>
      <t xml:space="preserve"> Causa : Los resultados de la encuesta se determinaron con base en el número de cuestionarios realizados omitiendose los factores de expansión, lo que da como resultado una cifra muy inferior a la meta establecida. Otro factor que influye en el dato es que el sistema no permite modificar el denominador, por lo anterior el dato correcto será de 24.2 por ciento. Respecto a la variación con la meta establecida, la diferencia responde al proceso de resectorización del Programa, lo que influyó en la percepción de la población encuestada que identifica como una instancia diferente en el otorgamiento de los apoyos. Efecto:  Respecto a la variación con la meta establecida, la diferencia responde al proceso de resectorización del Programa, lo que influyó en la percepción de la población encuestada que identifica como una instancia diferente en el otorgamiento de los apoyos. Otros Motivos:Este indicador proviene de la Encuesta Nacional sobre Percepción de Inseguridad en los Espacios Públicos, debido a que no se exponenciaron los datos, la información derivada de la encuesta es la siguiente:      (3,320 / 13,729) * 100= 24.2%     Donde:     3,320 son el número de hogares en torno a los espacios públicos con percepción de inseguridad en el espacio público     13,729 es el número de hogares en torno a los espacios públicos</t>
    </r>
  </si>
  <si>
    <r>
      <t xml:space="preserve">Porcentaje de hogares que asisten a los espacios públicos intervenidos
</t>
    </r>
    <r>
      <rPr>
        <sz val="10"/>
        <rFont val="Soberana Sans"/>
        <family val="2"/>
      </rPr>
      <t xml:space="preserve"> Causa : El incremento registrado respecto a la meta encuentra su justificación en que las obras realizadas, su diseño y funcionalidad responden de manera efectiva a las necesidades de la población, asimismo, son trascendentes las medidas de mantenimiento que impulsa el Programa entre los municipios y la apropiación de los espacios por parte de los beneficiarios. Efecto: Los resultados de la encuesta se determinaron con base en el número de cuestionarios realizados omitiendose los factores de expansión, lo que da como resultado una cifra muy inferior a la meta establecida. Otro factor que influye en el dato es que el sistema no permite modificar el denominador, por lo anterior el dato correcto será de 95.6 por ciento.  Otros Motivos:Este indicador proviene de la Encuesta Nacional sobre Percepción de Inseguridad en los Espacios Públicos, debido a que no se exponenciaron los datos, la información derivada de la encuesta es la siguiente:     (13,729 / 14,365) * 100= 95.6%    Donde:    13,729 es el número de hogares que asisten a los espacios públicos    14,365 es el número de hogares en torno a los espacios públicos</t>
    </r>
  </si>
  <si>
    <r>
      <t xml:space="preserve">Personas beneficiadas con la intervención de espacios públicos 
</t>
    </r>
    <r>
      <rPr>
        <sz val="10"/>
        <rFont val="Soberana Sans"/>
        <family val="2"/>
      </rPr>
      <t xml:space="preserve"> Causa : Este indicador va directamente asociado con el número de espacios públicos intervenidos.  Efecto: Al incrementar ese indicador, incrementan las personas beneficiadas. (Cifras al 20 de febrero de 2014) Otros Motivos:</t>
    </r>
  </si>
  <si>
    <r>
      <t xml:space="preserve">Porcentaje de hogares que consideran muy unida la relación entre vecinos.
</t>
    </r>
    <r>
      <rPr>
        <sz val="10"/>
        <rFont val="Soberana Sans"/>
        <family val="2"/>
      </rPr>
      <t xml:space="preserve"> Causa : Los resultados de la encuesta se determinaron con base en el número de cuestionarios realizados omitiendose los factores de expansión, lo que da como resultado una cifra muy inferior a la meta establecida. Otro factor que influye en el dato es que el sistema no permite modificar el denominador, por lo anterior el dato correcto será de 12.2% Efecto:  Respecto a la variación con la meta establecida, la diferencia responde al proceso de resectorización del Programa, lo que influyó en la percepción de la población encuestada que identifica como una instancia diferente en el otorgamiento de los apoyos. Otros Motivos:Este indicador proviene de la Encuesta Nacional sobre Percepción de Inseguridad en los Espacios Públicos, debido a que no se exponenciaron los datos, la información derivada de la encuesta es la siguiente:      (1,674 / 13,729) * 100= 12.2%     Donde:     1,674 es el número de hogares que clasifican como muy unida la relación entre vecinos     13,729 es el número de hogares en torno a los espacios públicos</t>
    </r>
  </si>
  <si>
    <r>
      <t xml:space="preserve">Porcentaje de hogares que participan en las actividades realizadas en los espacios públicos
</t>
    </r>
    <r>
      <rPr>
        <sz val="10"/>
        <rFont val="Soberana Sans"/>
        <family val="2"/>
      </rPr>
      <t xml:space="preserve"> Causa : Aunado a la intervención física de los espacios públicos, el Programa ofrece una variedad de actividades culturales, deportivas y sociales que tratan de responden a las necesidades de la población a través del impulso de la colaboración de los beneficiarios en las distintas etapas del proyecto para el rescate de los espacios públicos, esto redundó en el incremento de la participación de la población en las diversas actividades desarrolladas en los espacios públicos. Efecto: Los resultados de la encuesta se determinaron con base en el número de cuestionarios realizados omitiendose los factores de expansión, lo que da como resultado una cifra muy inferior a la meta establecida. Otro factor que influye en el dato es que el sistema no permite modificar el denominador, por lo anterior el dato correcto será de 39.3%. Respecto a la variación con la meta establecida, la diferencia responde al proceso de resectorización del Programa, lo que influyó en la percepción de la población encuestada que identifica como una instancia diferente en el otorgamiento de los apoyos. Otros Motivos:Este indicador proviene de la Encuesta Nacional sobre Percepción de Inseguridad en los Espacios Públicos, debido a que no se exponenciaron los datos, la información derivada de la encuesta es la siguiente:    (5,401 / 13,729) * 100= 39.3%   Donde:   5,401 es el número de hogares que manifiestan participar en actividades realizadas en los espacios públicos   13,729 es el número de hogares en torno a los espacios públicos</t>
    </r>
  </si>
  <si>
    <r>
      <t xml:space="preserve">Porcentaje de hogares satisfechos con las condiciones físicas de los espacios públicos.
</t>
    </r>
    <r>
      <rPr>
        <sz val="10"/>
        <rFont val="Soberana Sans"/>
        <family val="2"/>
      </rPr>
      <t xml:space="preserve"> Causa : Los resultados de la encuesta se determinaron con base en el número de cuestionarios realizados omitiendose los factores de expansión, lo que da como resultado una cifra muy inferior a la meta establecida. Otro factor que influye en el dato es que el sistema no permite modificar el denominador, por lo anterior el dato correcto será de 51.1 por ciento.  Efecto: Respecto a la variación con la meta establecida, la diferencia responde al proceso de resectorización del Programa, lo que influyó en la percepción de la población encuestada que identifica como una instancia diferente en el otorgamiento de los apoyos. Otros Motivos:Este indicador proviene de la Encuesta Nacional sobre Percepción de Inseguridad en los Espacios Públicos, debido a que no se exponenciaron los datos, la información derivada de la encuesta es la siguiente:      (7,014 / 13,729) * 100= 51.1%     Donde:     7,014 es el número de hogares que califican como muy buenas o buenas las condiciones físicas de los espacios públicos     13,729 es el número de hogares en torno a los espacios públicos</t>
    </r>
  </si>
  <si>
    <r>
      <t xml:space="preserve">Espacios Públicos de intervención general
</t>
    </r>
    <r>
      <rPr>
        <sz val="10"/>
        <rFont val="Soberana Sans"/>
        <family val="2"/>
      </rPr>
      <t xml:space="preserve"> Causa : En las Reglas de Operación del ejercicio fiscal 2013, se amplía considerablemente el universo de actuación, pasando de municipios de 50,000 y mas habitantes a municipios de 15,000 y mas habitantes. De esta forma, se apoyaron muchos municipios por primera vez, que anteriormente no habían participado en el Programa. Efecto: Se rebasó la meta modificada en 17.37 por ciento. Otros Motivos:</t>
    </r>
  </si>
  <si>
    <r>
      <t xml:space="preserve">Espacios Públicos Intervenidos.
</t>
    </r>
    <r>
      <rPr>
        <sz val="10"/>
        <rFont val="Soberana Sans"/>
        <family val="2"/>
      </rPr>
      <t xml:space="preserve"> Causa : Aún cuando 2013 fue un año atípico por la resectorización del Programa, el rescate de espacios públicos es un tema importante para los gobiernos locales que tienen como prioridad el Programa Nacional de la Prevención Social de la Violencia y la Delincuencia, favoreciendo así el fortalecimiento del tejido y la cohesión social, de esa forma pusieron mucho énfasis en la realización de sus proyectos para ser aceptados y así  sus habitantes contaran  con el apoyo del Programa. De los 990 Espacios Públicos Intervenidos, 527 fueron Intervención General (General Nuevo y Etapas Posteriores) y 463 fueron Consolidaciones, que toman en cuenta tanto las Físicas como las Sociales. Se apoyaron 381 municipios y delegaciones del Distrito Federal de las 32 Entidades Federativas, beneficiando aproximadamente a 3.5 millones de personas. Se realizaron 2,899 acciones dirigidas a impulsar la organización social y seguridad comunitaria, prevención de conductas antisociales, violencia y promoción de la equidad de género. Efecto: Se intervinieron mas espacios públicos de los programados, favoreciendo así el fortalecimiento del tejido y la cohesión social. Otros Motivos:</t>
    </r>
  </si>
  <si>
    <r>
      <t xml:space="preserve">Porcentaje de municipios y delegaciones atendidos por el programa
</t>
    </r>
    <r>
      <rPr>
        <sz val="10"/>
        <rFont val="Soberana Sans"/>
        <family val="2"/>
      </rPr>
      <t xml:space="preserve"> Causa : La meta se superó debido al interés de los municipios para participar en el Programa. Lo cual denota la importancia de la recuperación de los espacios públicos en las agendas locales como lugar de generación de cohesión social en los barrios y colonias urbanos del país. Efecto: Se rebasó 34.63 por ciento la meta modificada. Otros Motivos:</t>
    </r>
  </si>
  <si>
    <r>
      <t xml:space="preserve">Promedio de acciones de impulso a la organización social  y seguridad comunitaria, prevención de conductas de riesgo, violencia y promoción de la equidad de género realizadas por espacio público intervenido. 
</t>
    </r>
    <r>
      <rPr>
        <sz val="10"/>
        <rFont val="Soberana Sans"/>
        <family val="2"/>
      </rPr>
      <t xml:space="preserve"> Causa : Este indicador se encuentra directamente asociado al número y tipo de espacios públicos intervenidos. Al respecto, los proyectos finalmente ejecutados contienen ajustes y variaciones respecto a lo aprobado originalmente. (20 de febrero de 2014).  Efecto: Lo anterior explica la variación en el número de acciones sociales desarrolladas que se registran como cifras preliminares de la Cuenta Pública  Otros Motivos:</t>
    </r>
  </si>
  <si>
    <r>
      <t xml:space="preserve">Porcentaje de hogares que asisten a los espacios públicos y están satisfechos con las actividades realizadas. 
</t>
    </r>
    <r>
      <rPr>
        <sz val="10"/>
        <rFont val="Soberana Sans"/>
        <family val="2"/>
      </rPr>
      <t xml:space="preserve"> Causa : Los resultados de la encuesta se determinaron con base en el número de cuestionarios realizados omitiendose los factores de expansión, lo que da como resultado una cifra muy inferior a la meta establecida. Otro factor que influye en el dato es que el sistema no permite modificar el denominador, por lo anterior el dato correcto será de 74.9 por ciento. Respecto a la variación con la meta establecida, la diferencia responde al proceso de resectorización del Programa, lo que influyó en la percepción de la población encuestada que identifica como una instancia diferente en el otorgamiento de los apoyos. Efecto: Respecto a la variación con la meta establecida, la diferencia responde al proceso de resectorización del Programa, lo que influyó en la percepción de la población encuestada que identifica como una instancia diferente en el otorgamiento de los apoyos. Otros Motivos:Este indicador proviene de la Encuesta Nacional sobre Percepción de Inseguridad en los Espacios Públicos, debido a que no se exponenciaron los datos, la información derivada de la encuesta es la siguiente:      (4,047 / 5,401) * 100= 74.9%     Donde:     4,047 es el número de hogares que califican como muy buenas o buenas las actividades realizadas en los espacios públicos     5,401 es el número de hogares en torno a los espacios públicos que asiste a ellos y participa en las actividades en el espacio público</t>
    </r>
  </si>
  <si>
    <r>
      <t xml:space="preserve">Proyectos de mejoramiento físico de espacios públicos validados.
</t>
    </r>
    <r>
      <rPr>
        <sz val="10"/>
        <rFont val="Soberana Sans"/>
        <family val="2"/>
      </rPr>
      <t xml:space="preserve"> Causa : La meta de este indicador se encuentra asociada directamente al número de espacios públicos intervenidos, por lo que al haberse rescatado más espacios públicos, el resultado alcanzado en este indicador fue mayor. (Cifras al 20 de febrero de 2014) Efecto: Se rebasó la meta en 16.94 por ciento respecto de la modificada. Otros Motivos:</t>
    </r>
  </si>
  <si>
    <r>
      <t xml:space="preserve">Material de apoyo  entregado a los municipios ejecutores y grupos coordinadores para el desarrollo de las distintas etapas del Programa
</t>
    </r>
    <r>
      <rPr>
        <sz val="10"/>
        <rFont val="Soberana Sans"/>
        <family val="2"/>
      </rPr>
      <t xml:space="preserve"> Causa : Se entregaron 5 materiales de apoyo a los municipios ejecutores y grupos coordinadores del Programa. Efecto: De esta forma se llega al 100 por ciento de la meta. Otros Motivos:</t>
    </r>
  </si>
  <si>
    <r>
      <t xml:space="preserve">Porcentaje de espacios públicos donde se realizan visitas de supervisión y seguimiento a obras de mejoramiento físico y acciones de participación social y seguridad comunitaria.
</t>
    </r>
    <r>
      <rPr>
        <sz val="10"/>
        <rFont val="Soberana Sans"/>
        <family val="2"/>
      </rPr>
      <t xml:space="preserve"> Causa : Se intervinieron 990 Espacios Públicos durante el ejercicio fiscal 2013. Efecto: Se realizaron visitas de supervisión a los 990 espacios públicos intervenidos. Otros Motivos:De acuerdo a los espacios públicos intervenidos, el porcentaje de cumplimiento fue: 990 / 990 =100% donde 990 fueron los espacios públicos intervenidos, mismos que fueron supervisados</t>
    </r>
  </si>
  <si>
    <r>
      <t xml:space="preserve">Porcentaje de recursos federales comprobados por los ejecutores en las obras y acciones apoyadas
</t>
    </r>
    <r>
      <rPr>
        <sz val="10"/>
        <rFont val="Soberana Sans"/>
        <family val="2"/>
      </rPr>
      <t xml:space="preserve"> Causa : Se ejercieron $745,387,363 en el ejercicio fiscal 2013.   Información conforme a los registros de los ejecutores con fecha de corte 25 de febrero de 2014 en el Sistema Integral de Información de los Programas Sociales (SIIPSO) Efecto: No se comprobó el 100% Otros Motivos:De acuerdo a lo ejercido, lo comprobado por los municipios ejecutores es  613,384,584.67/745,387,363=82.29%</t>
    </r>
  </si>
  <si>
    <r>
      <t xml:space="preserve">Porcentaje de municipios  ejecutores capacitados, respecto al total de municipios ejecutores participantes en el Programa
</t>
    </r>
    <r>
      <rPr>
        <sz val="10"/>
        <rFont val="Soberana Sans"/>
        <family val="2"/>
      </rPr>
      <t xml:space="preserve"> Causa : Para el ejercicio fiscal 2013 hubo 381 municipios ejecutores, se capacitaron 353, lo que da un total de 92.65% El año 2013 fue atípico debido a la resectorización del Programa, debido a esto los tiempos estuvieron desfasados y por la premura, las Delegaciones Estatales de la SEDATU empezaron a trabajar con municipios que habían participado del Programa en años anteriores y conocen el funcionamiento de este. Efecto: Debido a esto, no fué posible capacitar al 100% de los municipios ejecutores en 2013. Otros Motivos:</t>
    </r>
  </si>
  <si>
    <r>
      <t xml:space="preserve">Porcentaje de personas que evalúan como bueno y excelente el cumplimiento de los objetivos establecidos para la capacitación.
</t>
    </r>
    <r>
      <rPr>
        <sz val="10"/>
        <rFont val="Soberana Sans"/>
        <family val="2"/>
      </rPr>
      <t xml:space="preserve"> Causa : El aprendizaje organizacional ha permitido mejorar los procesos. Efecto: De esta menera aumenta la eficacia en el logro de los objetivos que se establecen para la capacitación. Otros Motivos:El denominador fué de 272 personas que evaluaron las capacitaciones y asesorías, por lo que el dato real es:   (269/272) * 100= 98.90 %   donde:   269 son las personas que evalúan como bueno y excelente el cumplimiento de los objetivos en las capacitaciones   272 es el total de personas que evaluaron la capacitación</t>
    </r>
  </si>
  <si>
    <r>
      <t xml:space="preserve">Porcentaje de grupos coordinadores del Programa capacitados respecto al total de grupos coordinadores del Programa
</t>
    </r>
    <r>
      <rPr>
        <sz val="10"/>
        <rFont val="Soberana Sans"/>
        <family val="2"/>
      </rPr>
      <t xml:space="preserve"> Causa : Se capacitaron a los 33 grupos coordinadores del Programa Efecto: De esta forma se llega al 100 por ciento de la meta Otros Motivos:</t>
    </r>
  </si>
  <si>
    <r>
      <t xml:space="preserve">Porcentaje de presupuesto ejercido en obras de mejoramiento físico de espacios públicos, respecto del presupuesto  total anual destinado a obras y acciones del Programa.
</t>
    </r>
    <r>
      <rPr>
        <sz val="10"/>
        <rFont val="Soberana Sans"/>
        <family val="2"/>
      </rPr>
      <t xml:space="preserve"> Causa : Respecto a lo ejercido en el ejercicio fiscal 2013. La diferencia entre la meta programada y lo alcanzado responde a que los ejecutores priorizaron, derivado de la demanda de la población y al beneficio que esto provoca en ella, la ejecución de obras de mejoramiento físico. Por ello el indicador de Porcentaje de presupuesto ejercido en acciones de impulso a la organización social y seguridad comunitaria, prevención de conductas de riesgo, violencia y promoción de la equidad de género tuvo una variación entre lo programado (20%) y alcanzado (16.08%) (Cifras al 20 de febrero de 2014) Efecto: Se ejerció mas de lo establecido en la meta debido a la importancia de la modalidad Mejoramiento Físico. Otros Motivos:Lo ejercido durante el ejercicio fiscal 2013 fue de $745,387,362.78, y lo ejercido en obras de mejoramiento físico fue de $625,529,075, dando un porcentaje de 83.92%</t>
    </r>
  </si>
  <si>
    <r>
      <t xml:space="preserve">Porcentaje de presupuesto ejercido en acciones de impulso a la organización social  y seguridad comunitaria, prevención de conductas de riesgo, violencia y promoción de la equidad de género respecto del presupuesto  total anual destinado a obras y acciones del Programa. 
</t>
    </r>
    <r>
      <rPr>
        <sz val="10"/>
        <rFont val="Soberana Sans"/>
        <family val="2"/>
      </rPr>
      <t xml:space="preserve"> Causa : El denominador ($745,387,362.78) corresponde a lo ejercido durante el ejercicio fiscal 2013 (Cifras al 20 de febrero de 2014)    La diferencia entre la meta programada y lo alcanzado responde a que los ejecutores priorizaron, derivado de la demanda de la población y al beneficio que esto provoca en ella, la ejecución de obras de Mejoramiento Físico. (Cifras al 20 de febrero de 2014) Efecto: De esta forma no se llegó al 20% establecido en la meta para esta modalidad. Otros Motivos:Lo ejercido durante 2013 fueron $745,387,362.78 y lo ejercido en acciones de impulso a la organización social fue de $119,858,288, dando un porcentaje de 16.08%</t>
    </r>
  </si>
  <si>
    <r>
      <t xml:space="preserve">Porcentaje de proyectos concluidos específicamente dirigidos a impulsar la organización social y seguridad comunitaria, prevención de conductas de riesgo, violencia y promoción de la equidad de género.
</t>
    </r>
    <r>
      <rPr>
        <sz val="10"/>
        <rFont val="Soberana Sans"/>
        <family val="2"/>
      </rPr>
      <t xml:space="preserve"> Causa : Se llevaron a cabo 2,899 proyectos de la modalidad Organización Social, mismos que fueron concluídos. Efecto: Se llegó al 96 por ciento de la meta establecida. Otros Motivos:</t>
    </r>
  </si>
  <si>
    <r>
      <t xml:space="preserve">Proyectos dirigidos a impulsar la organización social y seguridad comunitaria, prevención de conductas  de riesgo, violencia y promoción de la equidad de género validados.
</t>
    </r>
    <r>
      <rPr>
        <sz val="10"/>
        <rFont val="Soberana Sans"/>
        <family val="2"/>
      </rPr>
      <t xml:space="preserve"> Causa : La diferencia entre la meta programada y lo alcanzado responde a que los ejecutores priorizaron, derivado de la demanda de la población y al beneficio que esto provoca en ella, la ejecución de obras de mejoramiento físico. Efecto: Se realizaron menos proyectos de la modalidad Organización Social respecto a lo programado. Otros Motivos:</t>
    </r>
  </si>
  <si>
    <t>S177</t>
  </si>
  <si>
    <t>Programa de esquema de financiamiento y subsidio federal para vivienda</t>
  </si>
  <si>
    <t>QCW-Comisión Nacional de Vivienda</t>
  </si>
  <si>
    <t>11 - Conducción de la política nacional de vivienda</t>
  </si>
  <si>
    <t>Contribuir a que la población de bajos ingresos tenga acceso a una solución habitacional</t>
  </si>
  <si>
    <r>
      <t>Porcentaje de cobertura de las necesidades de vivienda</t>
    </r>
    <r>
      <rPr>
        <i/>
        <sz val="10"/>
        <color indexed="30"/>
        <rFont val="Soberana Sans"/>
        <family val="3"/>
      </rPr>
      <t xml:space="preserve">
</t>
    </r>
  </si>
  <si>
    <t>(Subsidios otorgados del Programa Ésta es tu casa acumulados a partir del 2007 / Necesidades de vivienda) x 100</t>
  </si>
  <si>
    <t>La población de bajos ingresos accede al financiamiento para soluciones habitacionales en un entorno sustentable</t>
  </si>
  <si>
    <r>
      <t>Porcentaje de subsidios otorgados con criterios mínimos de sustentabilidad</t>
    </r>
    <r>
      <rPr>
        <i/>
        <sz val="10"/>
        <color indexed="30"/>
        <rFont val="Soberana Sans"/>
        <family val="3"/>
      </rPr>
      <t xml:space="preserve">
</t>
    </r>
  </si>
  <si>
    <t>(Subsidios otorgados a viviendas con criterios mínimos de sustentabilidad en el ejercicio fiscal en curso/ Subsidios otorgados durante el año en curso por el Programa Ésta es tu casa) x 100</t>
  </si>
  <si>
    <r>
      <t>Porcentaje de cobertura de las necesidades de vivienda de la población en pobreza</t>
    </r>
    <r>
      <rPr>
        <i/>
        <sz val="10"/>
        <color indexed="30"/>
        <rFont val="Soberana Sans"/>
        <family val="3"/>
      </rPr>
      <t xml:space="preserve">
</t>
    </r>
  </si>
  <si>
    <t>(Subsidios otorgados del Programa Ésta es tu casa acumulados a partir del 2007 / Necesidades de adquisición y mejoramiento de vivienda de la población en pobreza) x 100</t>
  </si>
  <si>
    <t>A Acciones de reconstrucción y zonas de alto riesgo subsidiada</t>
  </si>
  <si>
    <r>
      <t>Porcentaje de avance en reubicación de viviendas en zonas de alto riesgo</t>
    </r>
    <r>
      <rPr>
        <i/>
        <sz val="10"/>
        <color indexed="30"/>
        <rFont val="Soberana Sans"/>
        <family val="3"/>
      </rPr>
      <t xml:space="preserve">
</t>
    </r>
  </si>
  <si>
    <t>(Subsidios otorgados durante el año en curso para reubicación de zonas de alto riesgo / Subsidios programados durante el año en curso para reubicación de viviendas en zonas de alto riesgo) x 100</t>
  </si>
  <si>
    <t>B Adquisición de vivienda, lote con servicios y autoconstrucción subsidiada</t>
  </si>
  <si>
    <r>
      <t>Porcentaje del subsidio en el valor de la autoproducción</t>
    </r>
    <r>
      <rPr>
        <i/>
        <sz val="10"/>
        <color indexed="30"/>
        <rFont val="Soberana Sans"/>
        <family val="3"/>
      </rPr>
      <t xml:space="preserve">
</t>
    </r>
  </si>
  <si>
    <t>(Promedio del subsidio otorgado durante el año en curso en la modalidad de autoproducción / Promedio del valor del proyecto de autoproducción durante el año en curso) x 100</t>
  </si>
  <si>
    <r>
      <t>Porcentaje del subsidio en el valor de la adquisición de vivienda</t>
    </r>
    <r>
      <rPr>
        <i/>
        <sz val="10"/>
        <color indexed="30"/>
        <rFont val="Soberana Sans"/>
        <family val="3"/>
      </rPr>
      <t xml:space="preserve">
</t>
    </r>
  </si>
  <si>
    <t>(Promedio del subsidio otorgado durante el año en curso para adquisición de vivienda / Promedio del valor de la vivienda durante el año en curso) x 100</t>
  </si>
  <si>
    <r>
      <t xml:space="preserve">Porcentaje de recursos destinados a producción social de vivienda </t>
    </r>
    <r>
      <rPr>
        <i/>
        <sz val="10"/>
        <color indexed="30"/>
        <rFont val="Soberana Sans"/>
        <family val="3"/>
      </rPr>
      <t xml:space="preserve">
</t>
    </r>
  </si>
  <si>
    <t>(Recursos ejercidos para producción social de vivienda en el ejercicio fiscal en curso/ Recursos ejercidos para producción social de vivienda en el ejercicio fiscal anterior ) x 100</t>
  </si>
  <si>
    <r>
      <t>Porcentaje del subsidio en el valor de la adquisición del lote con servicios</t>
    </r>
    <r>
      <rPr>
        <i/>
        <sz val="10"/>
        <color indexed="30"/>
        <rFont val="Soberana Sans"/>
        <family val="3"/>
      </rPr>
      <t xml:space="preserve">
</t>
    </r>
  </si>
  <si>
    <t>(Promedio del subsidio otorgado durante el año en curso para la adquisición de lote con servicios / Promedio del valor del lote con serivicios durante el año en curso) x 100</t>
  </si>
  <si>
    <r>
      <t xml:space="preserve">Porcentaje de acciones destinados a producción social de vivienda con asistencia técnica </t>
    </r>
    <r>
      <rPr>
        <i/>
        <sz val="10"/>
        <color indexed="30"/>
        <rFont val="Soberana Sans"/>
        <family val="3"/>
      </rPr>
      <t xml:space="preserve">
</t>
    </r>
  </si>
  <si>
    <t>(Subsidios con asistencia técnica otorgados en el transcurso del año en producción social de vivienda / Subsidios programados durante el año en curso a producción social de vivienda) x 100</t>
  </si>
  <si>
    <r>
      <t>Porcentaje de cobertura de las necesidades de adquisición de vivienda de la población en pobreza</t>
    </r>
    <r>
      <rPr>
        <i/>
        <sz val="10"/>
        <color indexed="30"/>
        <rFont val="Soberana Sans"/>
        <family val="3"/>
      </rPr>
      <t xml:space="preserve">
Indicador Seleccionado</t>
    </r>
  </si>
  <si>
    <t>(Subsidios otorgados para adqusición de vivienda, autoproducción y lote con servicios durante el año en curso / Necesidades de adquisición de vivienda de la población en pobreza) x 100</t>
  </si>
  <si>
    <t>Estratégico-Eficacia-Mensual</t>
  </si>
  <si>
    <t>C Mejoramiento de vivienda subsidiada</t>
  </si>
  <si>
    <r>
      <t>Porcentaje de cobertura de las necesidades de mejoramiento de vivienda de la población en pobreza</t>
    </r>
    <r>
      <rPr>
        <i/>
        <sz val="10"/>
        <color indexed="30"/>
        <rFont val="Soberana Sans"/>
        <family val="3"/>
      </rPr>
      <t xml:space="preserve">
</t>
    </r>
  </si>
  <si>
    <t>(Subsidios del Programa Ésta es tu casa otorgados para mejoramiento de vivienda durante el año en curso / Necesidades de mejoramiento de vivienda de la población en pobreza) x 100</t>
  </si>
  <si>
    <r>
      <t>Porcentaje del subsidio en el valor de mejoramiento de vivienda</t>
    </r>
    <r>
      <rPr>
        <i/>
        <sz val="10"/>
        <color indexed="30"/>
        <rFont val="Soberana Sans"/>
        <family val="3"/>
      </rPr>
      <t xml:space="preserve">
</t>
    </r>
  </si>
  <si>
    <t>(Promedio del subsidio otorgado durante el año en curso para mejoramiento de vivienda / Promedio del valor del proyecto de mejoramiento durante el año en curso) x 100</t>
  </si>
  <si>
    <t>A 1 Validación realizada (Actividad Transversal)</t>
  </si>
  <si>
    <r>
      <t>Porcentaje de Entidades Ejecutoras supervisadas</t>
    </r>
    <r>
      <rPr>
        <i/>
        <sz val="10"/>
        <color indexed="30"/>
        <rFont val="Soberana Sans"/>
        <family val="3"/>
      </rPr>
      <t xml:space="preserve">
</t>
    </r>
  </si>
  <si>
    <t>(Entidades Ejecutoras supervisadas que operaron durante el año anterior / Entidades Ejecutoras que operaron durante el año anterior) x 100</t>
  </si>
  <si>
    <t>Entidad</t>
  </si>
  <si>
    <t>A 2 Control y seguimiento presupuestal realizada (Actividad transversal)</t>
  </si>
  <si>
    <r>
      <t>Costo promedio por subsidio otorgado</t>
    </r>
    <r>
      <rPr>
        <i/>
        <sz val="10"/>
        <color indexed="30"/>
        <rFont val="Soberana Sans"/>
        <family val="3"/>
      </rPr>
      <t xml:space="preserve">
</t>
    </r>
  </si>
  <si>
    <t>Gastos de operación ejercidos por el Programa durante el año en curso / Subsidios otorgados durante el año en curso por el Programa Ésta es tu casa</t>
  </si>
  <si>
    <r>
      <t>Índice de potenciación de los subsidios entregados por el Programa Ésta es tu casa</t>
    </r>
    <r>
      <rPr>
        <i/>
        <sz val="10"/>
        <color indexed="30"/>
        <rFont val="Soberana Sans"/>
        <family val="3"/>
      </rPr>
      <t xml:space="preserve">
</t>
    </r>
  </si>
  <si>
    <t>Suma de recursos aportados por terceros (entidades ejecutoras, beneficiarios, otros), durante el año en curso / Presupuesto ejercido en subsidios por el Programa durante el año en curso)</t>
  </si>
  <si>
    <t>A 3 Formalización del subsidio a través de las  Entidades Ejecutoras realizada</t>
  </si>
  <si>
    <r>
      <t>Porcentaje de subsidios a viviendas georeferenciadas</t>
    </r>
    <r>
      <rPr>
        <i/>
        <sz val="10"/>
        <color indexed="30"/>
        <rFont val="Soberana Sans"/>
        <family val="3"/>
      </rPr>
      <t xml:space="preserve">
</t>
    </r>
  </si>
  <si>
    <t>(Subsidios a viviendas georeferenciadas, otorgados durante el año en curso / Subsidios otorgados para las modalidades de autoproducción y mejoramiento durante el año en curso) x 100</t>
  </si>
  <si>
    <r>
      <t xml:space="preserve">Porcentaje de cobertura de las necesidades de vivienda
</t>
    </r>
    <r>
      <rPr>
        <sz val="10"/>
        <rFont val="Soberana Sans"/>
        <family val="2"/>
      </rPr>
      <t xml:space="preserve"> Causa : A partir de esta administración se buscó incentivar a la industria con una mayor asignación de recursos para la adquisición de vivienda, esto a partir de la crisis observada en el sector. Es importante destacar que el incremento en el presupuesto para el programa otorgado durante el último trimestre del año dió un impulso relevante a estas medidas a pesar del corto período que se dispuso para su correcta operación. Efecto: Como podrá observarse en el resto de los indicadores, la implementación de esta política otorgó importante impulso a la industria de la construcción, no obstante se redujeron las acciones de mejoramiento como efecto colateral de la misma y en gran medida a la falta de demanda por esta modalidad. Otros Motivos:</t>
    </r>
  </si>
  <si>
    <r>
      <t xml:space="preserve">Porcentaje de subsidios otorgados con criterios mínimos de sustentabilidad
</t>
    </r>
    <r>
      <rPr>
        <sz val="10"/>
        <rFont val="Soberana Sans"/>
        <family val="2"/>
      </rPr>
      <t xml:space="preserve"> Causa : Toda la vivienda nueva adquirida con un subsidio deberá cumplir con criterios mínimos de sustentabilidad, aunado a lo anterior y al impulso a la industria de la construcción para este año se incrementaron las operaciones para la adquisición de vivienda nueva Efecto: Se supera la meta programada para la adquisición de vivienda y cuyo crecimiento es inversamente proporcional al de mejoramiento ocasionado en gran medida por los incentivos a la industria de la construcción a través de las políticas generadas por la presente administración. Otros Motivos:De acuerdo a la descripción de la variable ¿Subsidios otorgados durante el año en curso por el Programa Ésta es tu casa¿, el denominador se refiere al número de subsidios otorgados por el Programa "Ésta es tu casa" durante el año en curso en todas sus modalidades, lo anterior verificable a través de la base de datos del programa. El denominador al que hace referencia la meta, es el número de subsidios programados para otorgar por el mismo programa.</t>
    </r>
  </si>
  <si>
    <r>
      <t xml:space="preserve">Porcentaje de cobertura de las necesidades de vivienda de la población en pobreza
</t>
    </r>
    <r>
      <rPr>
        <sz val="10"/>
        <rFont val="Soberana Sans"/>
        <family val="2"/>
      </rPr>
      <t xml:space="preserve"> Causa : A partir de esta administración se buscó incentivar a la industria con una mayor asignación de recursos para la adquisición de vivienda, esto a partir de la crisis observada en el sector. Es importante destacar que el incremento en el presupuesto para el programa otorgado durante el último trimestre del año proporcionó un impulso relevante a estas medidas a pesar del corto período que se dispuso para su correcta operación. Efecto: Como podrá observarse en el resto de los indicadores, la implementación de esta política otorgó importante impulso a la industria de la construcción, no obstante se redujeron las acciones de mejoramiento como efecto colateral de la misma y en gran medida a la falta de demanda por esta modalidad. Otros Motivos:</t>
    </r>
  </si>
  <si>
    <r>
      <t xml:space="preserve">Porcentaje de avance en reubicación de viviendas en zonas de alto riesgo
</t>
    </r>
    <r>
      <rPr>
        <sz val="10"/>
        <rFont val="Soberana Sans"/>
        <family val="2"/>
      </rPr>
      <t xml:space="preserve"> Causa : A partir de la resectorización de la CONAVI a la SEDATU, las funciones para reubicación y reconstrucción dejan de ser parte de la CONAVI, por lo que se ejerció únicamente las acciones comprometidas para el Estado de Veracruz. No obstante también se atendieron 1,369 acciones para reconstrucción  Efecto: Las funciones para reubicación de zonas de riesgo dejan de ser parte de las actividades de la CONAVI y sólo se atienden compromisos previos para acciones de reconstrucción Otros Motivos:</t>
    </r>
  </si>
  <si>
    <r>
      <t xml:space="preserve">Porcentaje del subsidio en el valor de la autoproducción
</t>
    </r>
    <r>
      <rPr>
        <sz val="10"/>
        <rFont val="Soberana Sans"/>
        <family val="2"/>
      </rPr>
      <t xml:space="preserve"> Causa : Para esta modalidad, la participación del subsidio se ha visto disminuida en el costo de la solución habitacional porque el beneficiario ha optado en disminuir el monto del crédito que es el mismo que resulta de restar el subsidio y el ahorro del valor de la solución habitacional. Efecto: A pesar de que se disminuye el monto del crédito para esta modalidad, mediante los esquemas de autoproducción asistida se ha buscado incrementar la calidad de la vivienda con una aportación en mano de obra de parte del beneficiario disminuyendo costos. Otros Motivos:</t>
    </r>
  </si>
  <si>
    <r>
      <t xml:space="preserve">Porcentaje del subsidio en el valor de la adquisición de vivienda
</t>
    </r>
    <r>
      <rPr>
        <sz val="10"/>
        <rFont val="Soberana Sans"/>
        <family val="2"/>
      </rPr>
      <t xml:space="preserve"> Causa : A pesar de que se incrementó el monto del subsidio, la proporción entre el costo de la solución habitacional prácticamente quedó igual a la considerada. Efecto: El monto del subsidio incrementa de manera congruente al costo de la vivienda sin importar que el costo de la misma aumente a favor de la verticalidad. Otros Motivos:</t>
    </r>
  </si>
  <si>
    <r>
      <t xml:space="preserve">Porcentaje de recursos destinados a producción social de vivienda 
</t>
    </r>
    <r>
      <rPr>
        <sz val="10"/>
        <rFont val="Soberana Sans"/>
        <family val="2"/>
      </rPr>
      <t xml:space="preserve"> Causa : Se tenía contemplada una reducción en las operaciones relacionadas a la producción social de vivienda asistida a efectos de mejorar la calidad de sus construcciones anteponiendo el costo de la misma, así como del subsidio empleado. Efecto: Se cumple la meta al mejorar la calidad del servicio proporcionado por las productoras sociales de vivienda Otros Motivos:</t>
    </r>
  </si>
  <si>
    <r>
      <t xml:space="preserve">Porcentaje del subsidio en el valor de la adquisición del lote con servicios
</t>
    </r>
    <r>
      <rPr>
        <sz val="10"/>
        <rFont val="Soberana Sans"/>
        <family val="2"/>
      </rPr>
      <t xml:space="preserve"> Causa : Al otorgar mayor certeza jurídica en la posesión del lote, los costos incrementan de manera importante, de tal suerte que este indicador se ve disminuido. Efecto: Si bien la participación del subsidio disminuyó, los beneficiarios que recibieron un lote, cuentan ya con mayor certeza en la posesión del mismo. Otros Motivos:</t>
    </r>
  </si>
  <si>
    <r>
      <t xml:space="preserve">Porcentaje de acciones destinados a producción social de vivienda con asistencia técnica 
</t>
    </r>
    <r>
      <rPr>
        <sz val="10"/>
        <rFont val="Soberana Sans"/>
        <family val="2"/>
      </rPr>
      <t xml:space="preserve"> Causa : Las productoras sociales de vivienda incrementaron el subsidio empleado en el costo de la solución habitacional, incrementando calidad y dimensiones en la obra pero disminuyendo el número de operaciones. Sin embargo es importante precisar que no se incluyen las 6,881 acciones efectuadas por medio de cajas solidarias que también incluyen asistencia técnica. Efecto: No se logra la meta esperada en virtud del incremento en el costo de la solución habitacional en los mejoramientos y en el incremento de operaciones relacionadas a la autoproducción, las cuales implican un subsidio mayor. Otros Motivos:</t>
    </r>
  </si>
  <si>
    <r>
      <t xml:space="preserve">Porcentaje de cobertura de las necesidades de adquisición de vivienda de la población en pobreza
</t>
    </r>
    <r>
      <rPr>
        <sz val="10"/>
        <rFont val="Soberana Sans"/>
        <family val="2"/>
      </rPr>
      <t xml:space="preserve"> Causa : Derivado de la problemática presentada por las empresas desarrolladoras de vivienda y la contracción mostrada en el sector, fue necesario destinar un mayor volumen de recursos a la modalidad de vivienda nueva, reduciendo el recurso que se tenía programado para la modalidad de mejoramiento. Es importante señalar que el destinar mayores recursos a la vivienda nueva ocasionó que los montos promedio de los subsidios se incrementaran y el número de acciones se redujeran, sin embargo la meta se cubrió satisfactoriamente en gran medida por el incremento al presupuesto durante el último trimestre del año.        La meta superada en este indicador se explica cuando se observa que las modalidades que contempla el mismo, son las que más demanda presentaron en el Programa y por el impulso que se ha buscado proporcionar a la industria de la construcción a través de la adquisición de vivienda y la demanda de subsidios para autoproducción.  Efecto: Si bien, las acciones anteriores lograron mitigar de manera importante los efectos de la crisis en el sector de la construcción de vivienda, se observó un efecto inverso en la modalidad de mejoramiento que no cubrió la meta programada al reducirse de manera importante los recursos que a su vez fueron destinados a la vivienda nueva por tener mayores impactos socioeconómicos.  Otros Motivos:Es importante aclarar que la meta original publicada en el Decreto de Presupuesto de Egresos 2013, era del 5.18%, toda vez que se planteó bajo una población objetivo inferior a la estimada originalmente, misma que no consideraba el crecimiento poblacional para el período 2013 - 2018 (Necesidades de adquisición de vivienda de la población en pobreza) este incremento en el denominador es inversamente proporcional a la meta planteada, así mismo el número de subsidios a otorgar y por lo tanto, la meta fue ajustada en la misma proporción para quedar en un 2.82% reportado previamente en el Portal Aplicativo de la SHCP.</t>
    </r>
  </si>
  <si>
    <r>
      <t xml:space="preserve">Porcentaje de cobertura de las necesidades de mejoramiento de vivienda de la población en pobreza
</t>
    </r>
    <r>
      <rPr>
        <sz val="10"/>
        <rFont val="Soberana Sans"/>
        <family val="2"/>
      </rPr>
      <t xml:space="preserve"> Causa : La disminución en la demanda de mejoramientos se explica por los mayores controles que aplica esta instancia normativa a fin de que las soluciones habitacionales cuenten con una asistencia técnica para mayor calidad en la obra y su debida comprobación de recursos, proporcionando mayor certeza a la ejecución de recursos Efecto: Un mayor control sobre los ejecutores aunado a una mayor asignación de recursos para vivienda y autoproducción, impidieron alcanzar la meta planeada pero que sin embargo derivaron en un apoyo importante al sector que se traduce en soluciones habitacionales de mayor calidad y mejor ubicadas. Otros Motivos:</t>
    </r>
  </si>
  <si>
    <r>
      <t xml:space="preserve">Porcentaje del subsidio en el valor de mejoramiento de vivienda
</t>
    </r>
    <r>
      <rPr>
        <sz val="10"/>
        <rFont val="Soberana Sans"/>
        <family val="2"/>
      </rPr>
      <t xml:space="preserve"> Causa : Al establecer controles para soluciones habitacionales de mayor calidad, el costo de las mismas incrementan, lo mismo con el monto del subsidio otorgado, lo que no afecta la relación entre el costo de la obra y el subsidio Efecto: Se alcanza la meta observada al incrementar el subsidio de manera proporcional al costo de la solución habitacional. Otros Motivos:</t>
    </r>
  </si>
  <si>
    <r>
      <t xml:space="preserve">Porcentaje de Entidades Ejecutoras supervisadas
</t>
    </r>
    <r>
      <rPr>
        <sz val="10"/>
        <rFont val="Soberana Sans"/>
        <family val="2"/>
      </rPr>
      <t xml:space="preserve"> Causa : Se trabajó en un alcance al contrato para supervisar la operación de entidades ejecutoras por medio de un tercero para una mayor cobertura  Efecto: Se cubrió la totalidad de entidades consideradas en una primer instancia, no obstante que los trabajos de supervisión continúan una vez concluido el ejercicio fiscal Otros Motivos:</t>
    </r>
  </si>
  <si>
    <r>
      <t xml:space="preserve">Costo promedio por subsidio otorgado
</t>
    </r>
    <r>
      <rPr>
        <sz val="10"/>
        <rFont val="Soberana Sans"/>
        <family val="2"/>
      </rPr>
      <t xml:space="preserve"> Causa : Los conceptos de gastos materiales y servicios generales no ejercieron la totalidad de su presupuesto por ahorros en servicios de telefonía, arrendamientos de oficinas y consumibles. Efecto: Se redujo de manera importante el costo en el otorgamiento del subsidio superando la meta considerada. Otros Motivos:</t>
    </r>
  </si>
  <si>
    <r>
      <t xml:space="preserve">Índice de potenciación de los subsidios entregados por el Programa Ésta es tu casa
</t>
    </r>
    <r>
      <rPr>
        <sz val="10"/>
        <rFont val="Soberana Sans"/>
        <family val="2"/>
      </rPr>
      <t xml:space="preserve"> Causa : Se había realizado la estimación de la meta considerando una mayor aportación de las entidades ejecutoras, sobre todo organismos estatales de vivienda, sin embargo dicha aportación no se logró, lo anterior aunado a que el subsidio ha cobrado mayor participación en el costo de la adquisición de vivienda a fin de otorgar mayores incentivos a la verticalidad Efecto: El indicador muestra una disminución que no obstante, se encuentra dentro de los umbrales de cumplimiento. Otros Motivos:</t>
    </r>
  </si>
  <si>
    <r>
      <t xml:space="preserve">Porcentaje de subsidios a viviendas georeferenciadas
</t>
    </r>
    <r>
      <rPr>
        <sz val="10"/>
        <rFont val="Soberana Sans"/>
        <family val="2"/>
      </rPr>
      <t xml:space="preserve"> Causa : Todas las acciones de las modalidades de autoproducción y mejoramiento fueron georeferenciadas como requisiito para la comprobación del subsidio Efecto: Se cuenta con mayor certeza en la ubicación de los subsidios federales. Otros Motivos:</t>
    </r>
  </si>
  <si>
    <t>S213</t>
  </si>
  <si>
    <t>Programa de apoyo a los avecindados en condiciones de pobreza patrimonial para regularizar asentamientos humanos irregulares (PASPRAH).</t>
  </si>
  <si>
    <t>902-Dirección General de Desarrollo Urbano y Suelo</t>
  </si>
  <si>
    <t>10 - Ordenación y regularización de la propiedad rural y urbana</t>
  </si>
  <si>
    <t>Contribuir a aumentar el valor del patrimonio de los hogares de la población en pobreza, otorgándoles seguridad juridica</t>
  </si>
  <si>
    <r>
      <t>Número de hogares que han realizado mejora en sus viviendas después de recibir sus títulos de propiedad</t>
    </r>
    <r>
      <rPr>
        <i/>
        <sz val="10"/>
        <color indexed="30"/>
        <rFont val="Soberana Sans"/>
        <family val="3"/>
      </rPr>
      <t xml:space="preserve">
</t>
    </r>
  </si>
  <si>
    <t xml:space="preserve">(Número de hogares que han realizado mejora en sus viviendas después de recibir sus títulos de propiedad/Número de hogares seleccionados para el muestreo)*100  </t>
  </si>
  <si>
    <t>Hogares en condiciones de pobreza que viven en asentamientos humanos irregulares, son apoyados para que cuenten con certeza jurídica respecto a su patrimonio.</t>
  </si>
  <si>
    <r>
      <t>Porcentaje de hogares apoyados con documentos oficiales entregados</t>
    </r>
    <r>
      <rPr>
        <i/>
        <sz val="10"/>
        <color indexed="30"/>
        <rFont val="Soberana Sans"/>
        <family val="3"/>
      </rPr>
      <t xml:space="preserve">
</t>
    </r>
  </si>
  <si>
    <t>(Número de hogares con documentos oficiales entregados en el ejercicio fiscal anterior/Número de hogares programados para entregar documentos oficiales en el ejercicio fiscal anterior)*100</t>
  </si>
  <si>
    <r>
      <t>Proporción de viviendas construidas en propiedades regularizadas producto del Programa</t>
    </r>
    <r>
      <rPr>
        <i/>
        <sz val="10"/>
        <color indexed="30"/>
        <rFont val="Soberana Sans"/>
        <family val="3"/>
      </rPr>
      <t xml:space="preserve">
</t>
    </r>
  </si>
  <si>
    <t>Número de viviendas construidas en propiedades regularizadas por el Programa / total de lotes baldíos de la muestra seleccionada X 100</t>
  </si>
  <si>
    <t>A Documentos oficiales entregados.</t>
  </si>
  <si>
    <r>
      <t>Número de hogares apoyados con cartas de liberación entregadas.</t>
    </r>
    <r>
      <rPr>
        <i/>
        <sz val="10"/>
        <color indexed="30"/>
        <rFont val="Soberana Sans"/>
        <family val="3"/>
      </rPr>
      <t xml:space="preserve">
Indicador Seleccionado</t>
    </r>
  </si>
  <si>
    <t>Número de hogares que recibieron carta de libaración de adeudo en el ejercicio fiscal.</t>
  </si>
  <si>
    <r>
      <t>Porcentaje de hogares en situación de pobreza que son atendidos por el programa</t>
    </r>
    <r>
      <rPr>
        <i/>
        <sz val="10"/>
        <color indexed="30"/>
        <rFont val="Soberana Sans"/>
        <family val="3"/>
      </rPr>
      <t xml:space="preserve">
</t>
    </r>
  </si>
  <si>
    <t>(Hogares en situación de pobreza que son atendidos por el programa/Total de hogares que habitan un lote irregular en polígonos donde opera el programa) *100</t>
  </si>
  <si>
    <r>
      <t>Porcentaje de polígonos atendidos</t>
    </r>
    <r>
      <rPr>
        <i/>
        <sz val="10"/>
        <color indexed="30"/>
        <rFont val="Soberana Sans"/>
        <family val="3"/>
      </rPr>
      <t xml:space="preserve">
</t>
    </r>
  </si>
  <si>
    <t>(Número de polígonos atendidos/Total de polígonos en el universo de cobertura del programa)*100</t>
  </si>
  <si>
    <t>A 1 Notificación de aprobación de subsidio.</t>
  </si>
  <si>
    <r>
      <t>Porcentaje de presupuesto ejercido con respecto al asignado</t>
    </r>
    <r>
      <rPr>
        <i/>
        <sz val="10"/>
        <color indexed="30"/>
        <rFont val="Soberana Sans"/>
        <family val="3"/>
      </rPr>
      <t xml:space="preserve">
</t>
    </r>
  </si>
  <si>
    <t>(Presupuesto ejercido en el ejercicio fiscal/Presupuesto asignado en el ejercicio fiscal)*100</t>
  </si>
  <si>
    <t>A 2 Recepción de solicitud de apoyo económico para cubrir los procesos de regularización.</t>
  </si>
  <si>
    <r>
      <t>Porcentaje de solicitudes de apoyo atendidas con respecto a las programadas.</t>
    </r>
    <r>
      <rPr>
        <i/>
        <sz val="10"/>
        <color indexed="30"/>
        <rFont val="Soberana Sans"/>
        <family val="3"/>
      </rPr>
      <t xml:space="preserve">
</t>
    </r>
  </si>
  <si>
    <t>(Número de hogares que solicitaron apoyo económico para cubrir los procesos de regularización atendidas/Número de hogares programados para entregar documentos oficiales) *100</t>
  </si>
  <si>
    <r>
      <t xml:space="preserve">Número de hogares que han realizado mejora en sus viviendas después de recibir sus títulos de propiedad
</t>
    </r>
    <r>
      <rPr>
        <sz val="10"/>
        <rFont val="Soberana Sans"/>
        <family val="2"/>
      </rPr>
      <t xml:space="preserve"> Causa : Este indicador tiene una meta BIANUAL,( 2013-2014) por lo que se presenta un avance a Diciembre de 2013 de 16 hogares que han realizado mejoras despues de recibir su título de propiedad,según la aplicación de encuesta que se llevó a cabo en la verificación física de 2013 de acuerdo al numeral 7.1 de las reglas de operación del Programa PASPRAH.  Efecto:  Otros Motivos:</t>
    </r>
  </si>
  <si>
    <r>
      <t xml:space="preserve">Porcentaje de hogares apoyados con documentos oficiales entregados
</t>
    </r>
    <r>
      <rPr>
        <sz val="10"/>
        <rFont val="Soberana Sans"/>
        <family val="2"/>
      </rPr>
      <t xml:space="preserve"> Causa : Al final del ejercicio, este indicador observó un porcentaje de cumplimiento del 100.5 por ciento respecto a lo programado, lo cual significó la entrega de 15,073 escrituras y/o títulos de propiedad. Este comportamiento se explica a partir de lo siguiente:  El seguimiento instrumentado por el ejecutor agilizó los diferentes trámites administrativos en los que intervienen los notarios públicos y los Registros Públicos de la Propiedad de las distintas entidades financieras, lo cual impactó positivamente en este indicador. Efecto: El alcance de las metas consideradas por este indicador, contribuyó al mejoramiento y consolidación de áreas urbanas formales que posteriormente pueden recibir recursos públicos complementarios que concreten políticas urbanas sustentables de caracter integral provenientes de los diferentes órdenes de gobierno dirigidos al mejoramiento urbano y ambiental de los centros de población. Otros Motivos:</t>
    </r>
  </si>
  <si>
    <r>
      <t xml:space="preserve">Número de hogares apoyados con cartas de liberación entregadas.
</t>
    </r>
    <r>
      <rPr>
        <sz val="10"/>
        <rFont val="Soberana Sans"/>
        <family val="2"/>
      </rPr>
      <t xml:space="preserve"> Causa : Al final del ejercio, el indicador observó un porcentaje de cumplimiento del 77.6 por ciento respecto a lo programado, lo cual significó la asignación de 17,305 subsidios ejercidos, cantidad que es igual al número de hogares beneficiados con la regularización de sus lotes.  Es importante señalar que el avance en el ejercicio de los recursos se vio afectado significativamente por diversas circunstancias, entre las más trascendentes fueron las reducciones líquidas efectuadas por la Secretaría de Hacienda y Crédito Público que ascendieron a más de 66.3 millones de pesos (22.4 por ciento menos respecto a lo programado).  La transferencia del Programa de la Secretaría de Desarrollo Social (SEDESOL) a la Secretaría de Desarrollo Agrario, Territorial y Urbano (SEDATU), derivada del Decreto por el que se reforman, adicionan y derogan diversas disposiciones de la Ley Orgánica de la Administración Pública Federal, publicada el 2 de enero del presente año en el Diario Oficial de la Federación. Por lo anterior, las Reglas de Operación del programa se publicaron hasta el 28 de febrero de 2104. Efecto: El alcance de las metas consideradas por este indicador, contribuyó al mejoramiento y consolidación de áreas urbanas formales que posteriormente pueden recibir otros recursos públicos complementarios que concreten políticas urbanas sustentables de carácter integral de los diferentes órdenes de gobierno dirigidas al mejoramiento urbano y ambiental de los centros de población. Otros Motivos:</t>
    </r>
  </si>
  <si>
    <r>
      <t xml:space="preserve">Porcentaje de hogares en situación de pobreza que son atendidos por el programa
</t>
    </r>
    <r>
      <rPr>
        <sz val="10"/>
        <rFont val="Soberana Sans"/>
        <family val="2"/>
      </rPr>
      <t xml:space="preserve"> Causa : Al cierre de ejercicio, la meta del indicador registra una variación menor de 22.3 por ciento de cumplimiento, lo cual se explica porque el programa tuvo como meta original otorgar al menos 22,283 subsidios, de los cuales se alcanzaón un total de 17,305. Es importante señalar que el avance en ejercicio de los recursos se vio afectado significativamente por diversas circunstancias, entre las más trascendentes se encuentran las reducciones liquidas efectuadas por la SHCP, siendo la reducción del 22.4 por ciento del presupuesto original.  Aunado a lo anterior la transferencia del Programa de la Secretaría de Desarrollo Social (SEDESOL) a la Secretaría de Desarrollo Agrario, Territorial y Urbano (SEDATU), derivada del Decreto por el que se reforman, adicionan y derogan diversas disposiciones de la Ley Orgánica de la Administración Pública Federal, publicada el 2 de enero del presente año en el Diario Oficial de la Federación, aplazó algunos procesos en tanto se formalizaban y adecuaban los cambios.    En este contexto las Reglas de Operación del programa se publicaron hasta el 28 de febrero, una vez que fueron desarrollados los procesos de revisión y validación, ahora por la SEDATU, los propios de la SHCP y de la COFEMER. Efecto: Como consecuencia de la reserva de recursos del programa, no se logró cumplir plenamente conforme a lo previsto con la meta original y con ello avanzar en el cumplimiento del objetivo de contribuir al mejoramiento y consolidación de áreas urbanas formales que posteriormente pueden recibir otros recursos públicos complementarios con enfásis en los grupos sociales en condicion de pobreza. Otros Motivos:</t>
    </r>
  </si>
  <si>
    <r>
      <t xml:space="preserve">Porcentaje de polígonos atendidos
</t>
    </r>
    <r>
      <rPr>
        <sz val="10"/>
        <rFont val="Soberana Sans"/>
        <family val="2"/>
      </rPr>
      <t xml:space="preserve"> Causa : Al cierre del ejercicio, la meta establecida fue superada en 101.8 por ciento con respecto a la meta original al haberse atendido 713 polígonos, este comportamiento se explica a que se continuo trabajando en los polígonos que fueron intervenidos en 2012 con el propósito de focalizar la operación del programa para avanzar hacia la consolidación de la regularización de los polígonos. Efecto: El alcance de las metas consideradas por este indicador contribuyó al mejoramiento y consolidación de reservas urbanas formales que posteriormente pueden recibir otros recursos públicos complementarios que concreten políticas urbanas sustentables de carácter integral de los diferentes órdenes de gobierno dirigidas al mejoramiento urbano y ambiental de los centros de población. Otros Motivos:</t>
    </r>
  </si>
  <si>
    <r>
      <t xml:space="preserve">Porcentaje de presupuesto ejercido con respecto al asignado
</t>
    </r>
    <r>
      <rPr>
        <sz val="10"/>
        <rFont val="Soberana Sans"/>
        <family val="2"/>
      </rPr>
      <t xml:space="preserve"> Causa : A través de este indicador el porcentaje de cumplimiento de la meta establecida mostro un resultado por debajo de la meta planteada a principio del año, el presupuesto autorizado fue de 237.4 millones con una meta prevista de 22,283 acciones que representan igual número de subsidios y hogares apoyados. Al cierre del ejercicio se tuvo un  presupuesto anual modificado de 171.06 millones debido a la reducciones liquidas efectuadas por la SHCP, el presupuesto ejercido al final del ejercicio fueron 169.8 millones con una meta alcanzada de 17,305 acciones realizadas.  Es importante señalar que el avance en el ejercicio de los recursos se vio afectado por las reducciones liquidas, así como la transferencia del Programa de la Secretaría de Desarrollo Social (SEDESOL) a la Secretaría de Desarrollo Agrario, Territorial y Urbano (SEDATU), derivada del Decreto por el que se reforman, adicionan y derogan diversas disposiciones de la Ley Orgánica de la Administración Pública Federal. Efecto: Derivado de la reserva de recursos del programa, no se logró cumplir plenamente con las metas previstas y con ello avanzar en el cumplimiento del objetivo de contribuir al mejoramiento y consolidación de áreas urbanas formales que posteriormente pueden recibir otros recursos públicos complementarios que concreten políticas urbanas sustentables de carácter integral de los diferentes órdenes de gobierno dirigidas al mejoramiento urbano y ambiental de los centros de población. Otros Motivos:</t>
    </r>
  </si>
  <si>
    <r>
      <t xml:space="preserve">Porcentaje de solicitudes de apoyo atendidas con respecto a las programadas.
</t>
    </r>
    <r>
      <rPr>
        <sz val="10"/>
        <rFont val="Soberana Sans"/>
        <family val="2"/>
      </rPr>
      <t xml:space="preserve"> Causa : Al cierre del ejercicio se observó un porcentaje de cumplimiento de 22.3 por ciento por debajo de la meta programada, lo cual significo la asignación de 17,305 subsidios ejercidos, cantidad que es igual al número de hogares beneficiados con la regularización de sus lotes. No obstante las acciones alcanzadas corresponden a la atención de igual número de solicitudes recibidas.   Es importante señalar que el avance en el ejercicio de los recursos se vio afectado por las reducciones liquidas efectuadas por la SHCP, así como la transferencia del Programa de la Secretaría de Desarrollo Social (SEDESOL) a la Secretaría de Desarrollo Agrario, Territorial y Urbano (SEDATU), derivada del Decreto por el que se reforman, adicionan y derogan diversas disposiciones de la Ley Orgánica de la Administración Pública Federal.   Efecto: El alcance de las metas consideradas por este indicador contribuyó al mejoramiento y consolidación de áreas urbanas formales que posteriormente pueden recibir otros recursos públicos complementarios que concreten políticas urbanas sustentables de carácter integral de los diferentes órdenes de gobierno dirigidas al mejoramiento urbano y ambiental de los centros de población. Otros Motivos:</t>
    </r>
  </si>
  <si>
    <r>
      <t xml:space="preserve">Porcentaje de presupuesto vigilado a través de la implementación de Comités de Contraloría social
</t>
    </r>
    <r>
      <rPr>
        <sz val="10"/>
        <rFont val="Soberana Sans"/>
        <family val="2"/>
      </rPr>
      <t xml:space="preserve"> Causa : Derivado de la resectorización del Programa se inicio el proceso de capacitación de las Delegaciones de SEDATU en la captura del sistema por lo que no se cuenta con información capturada. Efecto: El Programa Vivienda Digna, contribuyó a que hogares mexicanos en situación de pobreza con ingresos por debajo de la línea de bienestar y con carencia por calidad y espacios de la vivienda mejoraran su calidad de vida con acciones de vivienda nueva, ampliaciones y mejoramientos.         Asimismo, ha contribuido de manera directa en la Cruzada Nacional contra el Hambre¿ al otorgar viviendas nuevas a las familias que se encuentran ubicadas en los municipios identificados en la estrategia de inclusión y bienestar social a cargo del gobierno federal, con la cual pretende abatir de manera masiva la pobreza, la desnutrición y la marginación social en México.        Cabe mencionar que las acciones de vivienda nueva del Programa Vivienda Digna, se encuentran ubicadas en los municipios del Programa para la Prevención Social de la Violencia y la Delincuencia, a fin de contribuir en el Programa Transversal para combatir las adicciones, rescatar los espacios públicos y promover proyectos productivos.        Lo anterior, también contribuyó a la creación de empleos directos e indirectos con la construcción de acciones de vivienda nueva; lo que permite reactivar la economía local.        Además, al otorgar subsidios en estas modalidades, se logró beneficiar a personas con acciones de mejoramiento como: piso firme, techo de lámina o de losa de concreto, muros y otras acciones para mejoramiento de vivienda con materiales de calidad.         Asimismo, se contribuyó en mejorar la calidad de vida de personas que vivían en situación de hacinamiento, al otorgar acciones para ampliaciones de vivienda, reduciendo así la relación de personas por cuarto en una vivienda.     Otros Motivos: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</si>
</sst>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3" fontId="19" fillId="0" borderId="43" xfId="0" applyNumberFormat="1" applyFont="1" applyBorder="1" applyAlignment="1">
      <alignment horizontal="righ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3" xfId="0" applyNumberFormat="1" applyFont="1" applyBorder="1" applyAlignment="1">
      <alignment horizontal="right" vertical="top" wrapText="1"/>
    </xf>
    <xf numFmtId="2" fontId="0" fillId="0" borderId="44" xfId="0" applyNumberFormat="1" applyBorder="1" applyAlignment="1">
      <alignment horizontal="right" vertical="top" wrapText="1"/>
    </xf>
    <xf numFmtId="1" fontId="19" fillId="0" borderId="43" xfId="0" applyNumberFormat="1" applyFont="1" applyBorder="1" applyAlignment="1">
      <alignment horizontal="right" vertical="top" wrapText="1"/>
    </xf>
    <xf numFmtId="2" fontId="0" fillId="0" borderId="41" xfId="0" applyNumberFormat="1" applyFill="1" applyBorder="1" applyAlignment="1">
      <alignment horizontal="right" vertical="top" wrapText="1"/>
    </xf>
    <xf numFmtId="2" fontId="0" fillId="0" borderId="44" xfId="0" applyNumberFormat="1" applyFill="1" applyBorder="1" applyAlignment="1">
      <alignment horizontal="right" vertical="top" wrapText="1"/>
    </xf>
    <xf numFmtId="1" fontId="19" fillId="0" borderId="40" xfId="0" applyNumberFormat="1" applyFont="1" applyBorder="1" applyAlignment="1">
      <alignment horizontal="right" vertical="top" wrapText="1"/>
    </xf>
    <xf numFmtId="4" fontId="0" fillId="0" borderId="41" xfId="0" applyNumberFormat="1" applyFill="1" applyBorder="1" applyAlignment="1">
      <alignment horizontal="right" vertical="top" wrapText="1"/>
    </xf>
    <xf numFmtId="4" fontId="0" fillId="0" borderId="44" xfId="0" applyNumberFormat="1" applyFill="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43" fontId="0" fillId="0" borderId="0" xfId="0" applyNumberFormat="1" applyAlignment="1">
      <alignment vertical="top"/>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0" xfId="0" applyFill="1" applyBorder="1" applyAlignment="1">
      <alignment horizontal="justify" vertical="top" wrapText="1"/>
    </xf>
    <xf numFmtId="0" fontId="0" fillId="0" borderId="40" xfId="0" applyFill="1" applyBorder="1" applyAlignment="1">
      <alignment horizontal="left" vertical="top" wrapText="1"/>
    </xf>
    <xf numFmtId="0" fontId="0" fillId="0" borderId="43" xfId="0" applyFill="1" applyBorder="1" applyAlignment="1">
      <alignment horizontal="justify" vertical="top" wrapText="1"/>
    </xf>
    <xf numFmtId="0" fontId="0" fillId="0" borderId="43" xfId="0" applyFill="1" applyBorder="1" applyAlignment="1">
      <alignment horizontal="left"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0" borderId="42" xfId="0" applyFont="1" applyFill="1" applyBorder="1" applyAlignment="1">
      <alignment horizontal="left" vertical="top" wrapText="1"/>
    </xf>
    <xf numFmtId="0" fontId="18" fillId="0" borderId="43" xfId="0" applyFont="1" applyFill="1" applyBorder="1" applyAlignment="1">
      <alignment horizontal="left" vertical="top" wrapText="1"/>
    </xf>
    <xf numFmtId="0" fontId="18" fillId="0" borderId="44" xfId="0" applyFont="1" applyFill="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opLeftCell="A25" zoomScale="80" zoomScaleNormal="80" zoomScaleSheetLayoutView="80" workbookViewId="0">
      <selection activeCell="D50" sqref="D50:AB84"/>
    </sheetView>
  </sheetViews>
  <sheetFormatPr baseColWidth="10" defaultColWidth="5" defaultRowHeight="12.75" x14ac:dyDescent="0.2"/>
  <cols>
    <col min="1" max="1" width="3.5" style="1" customWidth="1"/>
    <col min="2" max="16384" width="5" style="1"/>
  </cols>
  <sheetData>
    <row r="1" spans="2:30" s="2" customFormat="1" ht="48" customHeight="1" x14ac:dyDescent="0.2">
      <c r="B1" s="66" t="s">
        <v>0</v>
      </c>
      <c r="C1" s="66"/>
      <c r="D1" s="66"/>
      <c r="E1" s="66"/>
      <c r="F1" s="66"/>
      <c r="G1" s="66"/>
      <c r="H1" s="66"/>
      <c r="I1" s="66"/>
      <c r="J1" s="66"/>
      <c r="K1" s="66"/>
      <c r="L1" s="66"/>
      <c r="M1" s="66"/>
      <c r="N1" s="66"/>
      <c r="O1" s="66"/>
      <c r="P1" s="66"/>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67" t="s">
        <v>2</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row>
    <row r="12" spans="2:30" ht="13.5" customHeight="1" x14ac:dyDescent="0.2">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row>
    <row r="13" spans="2:30" ht="13.5" customHeight="1" x14ac:dyDescent="0.2">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row>
    <row r="14" spans="2:30" ht="13.5" customHeight="1" x14ac:dyDescent="0.2">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row>
    <row r="15" spans="2:30" ht="13.5" customHeight="1" x14ac:dyDescent="0.2">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row>
    <row r="16" spans="2:30" ht="13.5" customHeight="1" x14ac:dyDescent="0.2">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row>
    <row r="17" spans="2:30" ht="13.5" customHeight="1" x14ac:dyDescent="0.2">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row>
    <row r="18" spans="2:30" ht="13.5" customHeight="1" x14ac:dyDescent="0.2">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row>
    <row r="19" spans="2:30" ht="13.5" customHeight="1" x14ac:dyDescent="0.2">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row>
    <row r="20" spans="2:30" ht="13.5" customHeight="1" x14ac:dyDescent="0.2">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row>
    <row r="21" spans="2:30" ht="13.5" customHeight="1" x14ac:dyDescent="0.2">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row>
    <row r="22" spans="2:30" ht="13.5" customHeight="1" x14ac:dyDescent="0.2">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row>
    <row r="23" spans="2:30" ht="13.5" customHeight="1" x14ac:dyDescent="0.2">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row>
    <row r="24" spans="2:30" ht="13.5" customHeight="1" x14ac:dyDescent="0.2">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row>
    <row r="25" spans="2:30" ht="13.5" customHeight="1" x14ac:dyDescent="0.2">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row>
    <row r="26" spans="2:30" ht="13.5" customHeight="1" x14ac:dyDescent="0.2">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row>
    <row r="27" spans="2:30" ht="13.5" customHeight="1" x14ac:dyDescent="0.2">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row>
    <row r="28" spans="2:30" ht="13.5" customHeight="1" x14ac:dyDescent="0.2">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row>
    <row r="29" spans="2:30" ht="13.5" customHeight="1" x14ac:dyDescent="0.2">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row>
    <row r="30" spans="2:30" ht="13.5" customHeight="1" x14ac:dyDescent="0.2">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row>
    <row r="31" spans="2:30" ht="13.5" customHeight="1" x14ac:dyDescent="0.2">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row>
    <row r="32" spans="2:30" ht="13.5" customHeight="1" x14ac:dyDescent="0.2">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row>
    <row r="33" spans="2:30" ht="13.5" customHeight="1" x14ac:dyDescent="0.2">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row>
    <row r="34" spans="2:30" ht="13.5" customHeight="1" x14ac:dyDescent="0.2">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68" t="s">
        <v>3</v>
      </c>
      <c r="E49" s="68"/>
      <c r="F49" s="68"/>
      <c r="G49" s="68"/>
      <c r="H49" s="68"/>
      <c r="I49" s="68"/>
      <c r="J49" s="68"/>
      <c r="K49" s="68"/>
      <c r="L49" s="68"/>
      <c r="M49" s="68"/>
      <c r="N49" s="68"/>
      <c r="O49" s="68"/>
      <c r="P49" s="68"/>
      <c r="Q49" s="68"/>
      <c r="R49" s="68"/>
      <c r="S49" s="68"/>
      <c r="T49" s="68"/>
      <c r="U49" s="68"/>
      <c r="V49" s="68"/>
      <c r="W49" s="68"/>
      <c r="X49" s="68"/>
      <c r="Y49" s="68"/>
      <c r="Z49" s="68"/>
      <c r="AA49" s="68"/>
      <c r="AB49" s="68"/>
    </row>
    <row r="50" spans="4:28" ht="13.5" customHeight="1" x14ac:dyDescent="0.2">
      <c r="D50" s="69" t="s">
        <v>4</v>
      </c>
      <c r="E50" s="69"/>
      <c r="F50" s="69"/>
      <c r="G50" s="69"/>
      <c r="H50" s="69"/>
      <c r="I50" s="69"/>
      <c r="J50" s="69"/>
      <c r="K50" s="69"/>
      <c r="L50" s="69"/>
      <c r="M50" s="69"/>
      <c r="N50" s="69"/>
      <c r="O50" s="69"/>
      <c r="P50" s="69"/>
      <c r="Q50" s="69"/>
      <c r="R50" s="69"/>
      <c r="S50" s="69"/>
      <c r="T50" s="69"/>
      <c r="U50" s="69"/>
      <c r="V50" s="69"/>
      <c r="W50" s="69"/>
      <c r="X50" s="69"/>
      <c r="Y50" s="69"/>
      <c r="Z50" s="69"/>
      <c r="AA50" s="69"/>
      <c r="AB50" s="69"/>
    </row>
    <row r="51" spans="4:28" ht="13.5" customHeight="1" x14ac:dyDescent="0.2">
      <c r="D51" s="69"/>
      <c r="E51" s="69"/>
      <c r="F51" s="69"/>
      <c r="G51" s="69"/>
      <c r="H51" s="69"/>
      <c r="I51" s="69"/>
      <c r="J51" s="69"/>
      <c r="K51" s="69"/>
      <c r="L51" s="69"/>
      <c r="M51" s="69"/>
      <c r="N51" s="69"/>
      <c r="O51" s="69"/>
      <c r="P51" s="69"/>
      <c r="Q51" s="69"/>
      <c r="R51" s="69"/>
      <c r="S51" s="69"/>
      <c r="T51" s="69"/>
      <c r="U51" s="69"/>
      <c r="V51" s="69"/>
      <c r="W51" s="69"/>
      <c r="X51" s="69"/>
      <c r="Y51" s="69"/>
      <c r="Z51" s="69"/>
      <c r="AA51" s="69"/>
      <c r="AB51" s="69"/>
    </row>
    <row r="52" spans="4:28" ht="13.5" customHeight="1" x14ac:dyDescent="0.2">
      <c r="D52" s="69"/>
      <c r="E52" s="69"/>
      <c r="F52" s="69"/>
      <c r="G52" s="69"/>
      <c r="H52" s="69"/>
      <c r="I52" s="69"/>
      <c r="J52" s="69"/>
      <c r="K52" s="69"/>
      <c r="L52" s="69"/>
      <c r="M52" s="69"/>
      <c r="N52" s="69"/>
      <c r="O52" s="69"/>
      <c r="P52" s="69"/>
      <c r="Q52" s="69"/>
      <c r="R52" s="69"/>
      <c r="S52" s="69"/>
      <c r="T52" s="69"/>
      <c r="U52" s="69"/>
      <c r="V52" s="69"/>
      <c r="W52" s="69"/>
      <c r="X52" s="69"/>
      <c r="Y52" s="69"/>
      <c r="Z52" s="69"/>
      <c r="AA52" s="69"/>
      <c r="AB52" s="69"/>
    </row>
    <row r="53" spans="4:28" ht="13.5" customHeight="1" x14ac:dyDescent="0.2">
      <c r="D53" s="69"/>
      <c r="E53" s="69"/>
      <c r="F53" s="69"/>
      <c r="G53" s="69"/>
      <c r="H53" s="69"/>
      <c r="I53" s="69"/>
      <c r="J53" s="69"/>
      <c r="K53" s="69"/>
      <c r="L53" s="69"/>
      <c r="M53" s="69"/>
      <c r="N53" s="69"/>
      <c r="O53" s="69"/>
      <c r="P53" s="69"/>
      <c r="Q53" s="69"/>
      <c r="R53" s="69"/>
      <c r="S53" s="69"/>
      <c r="T53" s="69"/>
      <c r="U53" s="69"/>
      <c r="V53" s="69"/>
      <c r="W53" s="69"/>
      <c r="X53" s="69"/>
      <c r="Y53" s="69"/>
      <c r="Z53" s="69"/>
      <c r="AA53" s="69"/>
      <c r="AB53" s="69"/>
    </row>
    <row r="54" spans="4:28" ht="13.5" customHeight="1" x14ac:dyDescent="0.2">
      <c r="D54" s="69"/>
      <c r="E54" s="69"/>
      <c r="F54" s="69"/>
      <c r="G54" s="69"/>
      <c r="H54" s="69"/>
      <c r="I54" s="69"/>
      <c r="J54" s="69"/>
      <c r="K54" s="69"/>
      <c r="L54" s="69"/>
      <c r="M54" s="69"/>
      <c r="N54" s="69"/>
      <c r="O54" s="69"/>
      <c r="P54" s="69"/>
      <c r="Q54" s="69"/>
      <c r="R54" s="69"/>
      <c r="S54" s="69"/>
      <c r="T54" s="69"/>
      <c r="U54" s="69"/>
      <c r="V54" s="69"/>
      <c r="W54" s="69"/>
      <c r="X54" s="69"/>
      <c r="Y54" s="69"/>
      <c r="Z54" s="69"/>
      <c r="AA54" s="69"/>
      <c r="AB54" s="69"/>
    </row>
    <row r="55" spans="4:28" ht="13.5" customHeight="1" x14ac:dyDescent="0.2">
      <c r="D55" s="69"/>
      <c r="E55" s="69"/>
      <c r="F55" s="69"/>
      <c r="G55" s="69"/>
      <c r="H55" s="69"/>
      <c r="I55" s="69"/>
      <c r="J55" s="69"/>
      <c r="K55" s="69"/>
      <c r="L55" s="69"/>
      <c r="M55" s="69"/>
      <c r="N55" s="69"/>
      <c r="O55" s="69"/>
      <c r="P55" s="69"/>
      <c r="Q55" s="69"/>
      <c r="R55" s="69"/>
      <c r="S55" s="69"/>
      <c r="T55" s="69"/>
      <c r="U55" s="69"/>
      <c r="V55" s="69"/>
      <c r="W55" s="69"/>
      <c r="X55" s="69"/>
      <c r="Y55" s="69"/>
      <c r="Z55" s="69"/>
      <c r="AA55" s="69"/>
      <c r="AB55" s="69"/>
    </row>
    <row r="56" spans="4:28" ht="13.5" customHeight="1" x14ac:dyDescent="0.2">
      <c r="D56" s="69"/>
      <c r="E56" s="69"/>
      <c r="F56" s="69"/>
      <c r="G56" s="69"/>
      <c r="H56" s="69"/>
      <c r="I56" s="69"/>
      <c r="J56" s="69"/>
      <c r="K56" s="69"/>
      <c r="L56" s="69"/>
      <c r="M56" s="69"/>
      <c r="N56" s="69"/>
      <c r="O56" s="69"/>
      <c r="P56" s="69"/>
      <c r="Q56" s="69"/>
      <c r="R56" s="69"/>
      <c r="S56" s="69"/>
      <c r="T56" s="69"/>
      <c r="U56" s="69"/>
      <c r="V56" s="69"/>
      <c r="W56" s="69"/>
      <c r="X56" s="69"/>
      <c r="Y56" s="69"/>
      <c r="Z56" s="69"/>
      <c r="AA56" s="69"/>
      <c r="AB56" s="69"/>
    </row>
    <row r="57" spans="4:28" ht="13.5" customHeight="1" x14ac:dyDescent="0.2">
      <c r="D57" s="69"/>
      <c r="E57" s="69"/>
      <c r="F57" s="69"/>
      <c r="G57" s="69"/>
      <c r="H57" s="69"/>
      <c r="I57" s="69"/>
      <c r="J57" s="69"/>
      <c r="K57" s="69"/>
      <c r="L57" s="69"/>
      <c r="M57" s="69"/>
      <c r="N57" s="69"/>
      <c r="O57" s="69"/>
      <c r="P57" s="69"/>
      <c r="Q57" s="69"/>
      <c r="R57" s="69"/>
      <c r="S57" s="69"/>
      <c r="T57" s="69"/>
      <c r="U57" s="69"/>
      <c r="V57" s="69"/>
      <c r="W57" s="69"/>
      <c r="X57" s="69"/>
      <c r="Y57" s="69"/>
      <c r="Z57" s="69"/>
      <c r="AA57" s="69"/>
      <c r="AB57" s="69"/>
    </row>
    <row r="58" spans="4:28" ht="13.5" customHeight="1" x14ac:dyDescent="0.2">
      <c r="D58" s="69"/>
      <c r="E58" s="69"/>
      <c r="F58" s="69"/>
      <c r="G58" s="69"/>
      <c r="H58" s="69"/>
      <c r="I58" s="69"/>
      <c r="J58" s="69"/>
      <c r="K58" s="69"/>
      <c r="L58" s="69"/>
      <c r="M58" s="69"/>
      <c r="N58" s="69"/>
      <c r="O58" s="69"/>
      <c r="P58" s="69"/>
      <c r="Q58" s="69"/>
      <c r="R58" s="69"/>
      <c r="S58" s="69"/>
      <c r="T58" s="69"/>
      <c r="U58" s="69"/>
      <c r="V58" s="69"/>
      <c r="W58" s="69"/>
      <c r="X58" s="69"/>
      <c r="Y58" s="69"/>
      <c r="Z58" s="69"/>
      <c r="AA58" s="69"/>
      <c r="AB58" s="69"/>
    </row>
    <row r="59" spans="4:28" ht="13.5" customHeight="1" x14ac:dyDescent="0.2">
      <c r="D59" s="69"/>
      <c r="E59" s="69"/>
      <c r="F59" s="69"/>
      <c r="G59" s="69"/>
      <c r="H59" s="69"/>
      <c r="I59" s="69"/>
      <c r="J59" s="69"/>
      <c r="K59" s="69"/>
      <c r="L59" s="69"/>
      <c r="M59" s="69"/>
      <c r="N59" s="69"/>
      <c r="O59" s="69"/>
      <c r="P59" s="69"/>
      <c r="Q59" s="69"/>
      <c r="R59" s="69"/>
      <c r="S59" s="69"/>
      <c r="T59" s="69"/>
      <c r="U59" s="69"/>
      <c r="V59" s="69"/>
      <c r="W59" s="69"/>
      <c r="X59" s="69"/>
      <c r="Y59" s="69"/>
      <c r="Z59" s="69"/>
      <c r="AA59" s="69"/>
      <c r="AB59" s="69"/>
    </row>
    <row r="60" spans="4:28" ht="13.5" customHeight="1" x14ac:dyDescent="0.2">
      <c r="D60" s="69"/>
      <c r="E60" s="69"/>
      <c r="F60" s="69"/>
      <c r="G60" s="69"/>
      <c r="H60" s="69"/>
      <c r="I60" s="69"/>
      <c r="J60" s="69"/>
      <c r="K60" s="69"/>
      <c r="L60" s="69"/>
      <c r="M60" s="69"/>
      <c r="N60" s="69"/>
      <c r="O60" s="69"/>
      <c r="P60" s="69"/>
      <c r="Q60" s="69"/>
      <c r="R60" s="69"/>
      <c r="S60" s="69"/>
      <c r="T60" s="69"/>
      <c r="U60" s="69"/>
      <c r="V60" s="69"/>
      <c r="W60" s="69"/>
      <c r="X60" s="69"/>
      <c r="Y60" s="69"/>
      <c r="Z60" s="69"/>
      <c r="AA60" s="69"/>
      <c r="AB60" s="69"/>
    </row>
    <row r="61" spans="4:28" ht="13.5" customHeight="1" x14ac:dyDescent="0.2">
      <c r="D61" s="69"/>
      <c r="E61" s="69"/>
      <c r="F61" s="69"/>
      <c r="G61" s="69"/>
      <c r="H61" s="69"/>
      <c r="I61" s="69"/>
      <c r="J61" s="69"/>
      <c r="K61" s="69"/>
      <c r="L61" s="69"/>
      <c r="M61" s="69"/>
      <c r="N61" s="69"/>
      <c r="O61" s="69"/>
      <c r="P61" s="69"/>
      <c r="Q61" s="69"/>
      <c r="R61" s="69"/>
      <c r="S61" s="69"/>
      <c r="T61" s="69"/>
      <c r="U61" s="69"/>
      <c r="V61" s="69"/>
      <c r="W61" s="69"/>
      <c r="X61" s="69"/>
      <c r="Y61" s="69"/>
      <c r="Z61" s="69"/>
      <c r="AA61" s="69"/>
      <c r="AB61" s="69"/>
    </row>
    <row r="62" spans="4:28" ht="13.5" customHeight="1" x14ac:dyDescent="0.2">
      <c r="D62" s="69"/>
      <c r="E62" s="69"/>
      <c r="F62" s="69"/>
      <c r="G62" s="69"/>
      <c r="H62" s="69"/>
      <c r="I62" s="69"/>
      <c r="J62" s="69"/>
      <c r="K62" s="69"/>
      <c r="L62" s="69"/>
      <c r="M62" s="69"/>
      <c r="N62" s="69"/>
      <c r="O62" s="69"/>
      <c r="P62" s="69"/>
      <c r="Q62" s="69"/>
      <c r="R62" s="69"/>
      <c r="S62" s="69"/>
      <c r="T62" s="69"/>
      <c r="U62" s="69"/>
      <c r="V62" s="69"/>
      <c r="W62" s="69"/>
      <c r="X62" s="69"/>
      <c r="Y62" s="69"/>
      <c r="Z62" s="69"/>
      <c r="AA62" s="69"/>
      <c r="AB62" s="69"/>
    </row>
    <row r="63" spans="4:28" ht="13.5" customHeight="1" x14ac:dyDescent="0.2">
      <c r="D63" s="69"/>
      <c r="E63" s="69"/>
      <c r="F63" s="69"/>
      <c r="G63" s="69"/>
      <c r="H63" s="69"/>
      <c r="I63" s="69"/>
      <c r="J63" s="69"/>
      <c r="K63" s="69"/>
      <c r="L63" s="69"/>
      <c r="M63" s="69"/>
      <c r="N63" s="69"/>
      <c r="O63" s="69"/>
      <c r="P63" s="69"/>
      <c r="Q63" s="69"/>
      <c r="R63" s="69"/>
      <c r="S63" s="69"/>
      <c r="T63" s="69"/>
      <c r="U63" s="69"/>
      <c r="V63" s="69"/>
      <c r="W63" s="69"/>
      <c r="X63" s="69"/>
      <c r="Y63" s="69"/>
      <c r="Z63" s="69"/>
      <c r="AA63" s="69"/>
      <c r="AB63" s="69"/>
    </row>
    <row r="64" spans="4:28" ht="13.5" customHeight="1" x14ac:dyDescent="0.2">
      <c r="D64" s="69"/>
      <c r="E64" s="69"/>
      <c r="F64" s="69"/>
      <c r="G64" s="69"/>
      <c r="H64" s="69"/>
      <c r="I64" s="69"/>
      <c r="J64" s="69"/>
      <c r="K64" s="69"/>
      <c r="L64" s="69"/>
      <c r="M64" s="69"/>
      <c r="N64" s="69"/>
      <c r="O64" s="69"/>
      <c r="P64" s="69"/>
      <c r="Q64" s="69"/>
      <c r="R64" s="69"/>
      <c r="S64" s="69"/>
      <c r="T64" s="69"/>
      <c r="U64" s="69"/>
      <c r="V64" s="69"/>
      <c r="W64" s="69"/>
      <c r="X64" s="69"/>
      <c r="Y64" s="69"/>
      <c r="Z64" s="69"/>
      <c r="AA64" s="69"/>
      <c r="AB64" s="69"/>
    </row>
    <row r="65" spans="4:28" ht="13.5" customHeight="1" x14ac:dyDescent="0.2">
      <c r="D65" s="69"/>
      <c r="E65" s="69"/>
      <c r="F65" s="69"/>
      <c r="G65" s="69"/>
      <c r="H65" s="69"/>
      <c r="I65" s="69"/>
      <c r="J65" s="69"/>
      <c r="K65" s="69"/>
      <c r="L65" s="69"/>
      <c r="M65" s="69"/>
      <c r="N65" s="69"/>
      <c r="O65" s="69"/>
      <c r="P65" s="69"/>
      <c r="Q65" s="69"/>
      <c r="R65" s="69"/>
      <c r="S65" s="69"/>
      <c r="T65" s="69"/>
      <c r="U65" s="69"/>
      <c r="V65" s="69"/>
      <c r="W65" s="69"/>
      <c r="X65" s="69"/>
      <c r="Y65" s="69"/>
      <c r="Z65" s="69"/>
      <c r="AA65" s="69"/>
      <c r="AB65" s="69"/>
    </row>
    <row r="66" spans="4:28" ht="13.5" customHeight="1" x14ac:dyDescent="0.2">
      <c r="D66" s="69"/>
      <c r="E66" s="69"/>
      <c r="F66" s="69"/>
      <c r="G66" s="69"/>
      <c r="H66" s="69"/>
      <c r="I66" s="69"/>
      <c r="J66" s="69"/>
      <c r="K66" s="69"/>
      <c r="L66" s="69"/>
      <c r="M66" s="69"/>
      <c r="N66" s="69"/>
      <c r="O66" s="69"/>
      <c r="P66" s="69"/>
      <c r="Q66" s="69"/>
      <c r="R66" s="69"/>
      <c r="S66" s="69"/>
      <c r="T66" s="69"/>
      <c r="U66" s="69"/>
      <c r="V66" s="69"/>
      <c r="W66" s="69"/>
      <c r="X66" s="69"/>
      <c r="Y66" s="69"/>
      <c r="Z66" s="69"/>
      <c r="AA66" s="69"/>
      <c r="AB66" s="69"/>
    </row>
    <row r="67" spans="4:28" ht="13.5" customHeight="1" x14ac:dyDescent="0.2">
      <c r="D67" s="69"/>
      <c r="E67" s="69"/>
      <c r="F67" s="69"/>
      <c r="G67" s="69"/>
      <c r="H67" s="69"/>
      <c r="I67" s="69"/>
      <c r="J67" s="69"/>
      <c r="K67" s="69"/>
      <c r="L67" s="69"/>
      <c r="M67" s="69"/>
      <c r="N67" s="69"/>
      <c r="O67" s="69"/>
      <c r="P67" s="69"/>
      <c r="Q67" s="69"/>
      <c r="R67" s="69"/>
      <c r="S67" s="69"/>
      <c r="T67" s="69"/>
      <c r="U67" s="69"/>
      <c r="V67" s="69"/>
      <c r="W67" s="69"/>
      <c r="X67" s="69"/>
      <c r="Y67" s="69"/>
      <c r="Z67" s="69"/>
      <c r="AA67" s="69"/>
      <c r="AB67" s="69"/>
    </row>
    <row r="68" spans="4:28" ht="13.5" customHeight="1" x14ac:dyDescent="0.2">
      <c r="D68" s="69"/>
      <c r="E68" s="69"/>
      <c r="F68" s="69"/>
      <c r="G68" s="69"/>
      <c r="H68" s="69"/>
      <c r="I68" s="69"/>
      <c r="J68" s="69"/>
      <c r="K68" s="69"/>
      <c r="L68" s="69"/>
      <c r="M68" s="69"/>
      <c r="N68" s="69"/>
      <c r="O68" s="69"/>
      <c r="P68" s="69"/>
      <c r="Q68" s="69"/>
      <c r="R68" s="69"/>
      <c r="S68" s="69"/>
      <c r="T68" s="69"/>
      <c r="U68" s="69"/>
      <c r="V68" s="69"/>
      <c r="W68" s="69"/>
      <c r="X68" s="69"/>
      <c r="Y68" s="69"/>
      <c r="Z68" s="69"/>
      <c r="AA68" s="69"/>
      <c r="AB68" s="69"/>
    </row>
    <row r="69" spans="4:28" ht="13.5" customHeight="1" x14ac:dyDescent="0.2">
      <c r="D69" s="69"/>
      <c r="E69" s="69"/>
      <c r="F69" s="69"/>
      <c r="G69" s="69"/>
      <c r="H69" s="69"/>
      <c r="I69" s="69"/>
      <c r="J69" s="69"/>
      <c r="K69" s="69"/>
      <c r="L69" s="69"/>
      <c r="M69" s="69"/>
      <c r="N69" s="69"/>
      <c r="O69" s="69"/>
      <c r="P69" s="69"/>
      <c r="Q69" s="69"/>
      <c r="R69" s="69"/>
      <c r="S69" s="69"/>
      <c r="T69" s="69"/>
      <c r="U69" s="69"/>
      <c r="V69" s="69"/>
      <c r="W69" s="69"/>
      <c r="X69" s="69"/>
      <c r="Y69" s="69"/>
      <c r="Z69" s="69"/>
      <c r="AA69" s="69"/>
      <c r="AB69" s="69"/>
    </row>
    <row r="70" spans="4:28" ht="13.5" customHeight="1" x14ac:dyDescent="0.2">
      <c r="D70" s="69"/>
      <c r="E70" s="69"/>
      <c r="F70" s="69"/>
      <c r="G70" s="69"/>
      <c r="H70" s="69"/>
      <c r="I70" s="69"/>
      <c r="J70" s="69"/>
      <c r="K70" s="69"/>
      <c r="L70" s="69"/>
      <c r="M70" s="69"/>
      <c r="N70" s="69"/>
      <c r="O70" s="69"/>
      <c r="P70" s="69"/>
      <c r="Q70" s="69"/>
      <c r="R70" s="69"/>
      <c r="S70" s="69"/>
      <c r="T70" s="69"/>
      <c r="U70" s="69"/>
      <c r="V70" s="69"/>
      <c r="W70" s="69"/>
      <c r="X70" s="69"/>
      <c r="Y70" s="69"/>
      <c r="Z70" s="69"/>
      <c r="AA70" s="69"/>
      <c r="AB70" s="69"/>
    </row>
    <row r="71" spans="4:28" ht="13.5" customHeight="1" x14ac:dyDescent="0.2">
      <c r="D71" s="69"/>
      <c r="E71" s="69"/>
      <c r="F71" s="69"/>
      <c r="G71" s="69"/>
      <c r="H71" s="69"/>
      <c r="I71" s="69"/>
      <c r="J71" s="69"/>
      <c r="K71" s="69"/>
      <c r="L71" s="69"/>
      <c r="M71" s="69"/>
      <c r="N71" s="69"/>
      <c r="O71" s="69"/>
      <c r="P71" s="69"/>
      <c r="Q71" s="69"/>
      <c r="R71" s="69"/>
      <c r="S71" s="69"/>
      <c r="T71" s="69"/>
      <c r="U71" s="69"/>
      <c r="V71" s="69"/>
      <c r="W71" s="69"/>
      <c r="X71" s="69"/>
      <c r="Y71" s="69"/>
      <c r="Z71" s="69"/>
      <c r="AA71" s="69"/>
      <c r="AB71" s="69"/>
    </row>
    <row r="72" spans="4:28" ht="13.5" customHeight="1" x14ac:dyDescent="0.2">
      <c r="D72" s="69"/>
      <c r="E72" s="69"/>
      <c r="F72" s="69"/>
      <c r="G72" s="69"/>
      <c r="H72" s="69"/>
      <c r="I72" s="69"/>
      <c r="J72" s="69"/>
      <c r="K72" s="69"/>
      <c r="L72" s="69"/>
      <c r="M72" s="69"/>
      <c r="N72" s="69"/>
      <c r="O72" s="69"/>
      <c r="P72" s="69"/>
      <c r="Q72" s="69"/>
      <c r="R72" s="69"/>
      <c r="S72" s="69"/>
      <c r="T72" s="69"/>
      <c r="U72" s="69"/>
      <c r="V72" s="69"/>
      <c r="W72" s="69"/>
      <c r="X72" s="69"/>
      <c r="Y72" s="69"/>
      <c r="Z72" s="69"/>
      <c r="AA72" s="69"/>
      <c r="AB72" s="69"/>
    </row>
    <row r="73" spans="4:28" ht="13.5" customHeight="1" x14ac:dyDescent="0.2">
      <c r="D73" s="69"/>
      <c r="E73" s="69"/>
      <c r="F73" s="69"/>
      <c r="G73" s="69"/>
      <c r="H73" s="69"/>
      <c r="I73" s="69"/>
      <c r="J73" s="69"/>
      <c r="K73" s="69"/>
      <c r="L73" s="69"/>
      <c r="M73" s="69"/>
      <c r="N73" s="69"/>
      <c r="O73" s="69"/>
      <c r="P73" s="69"/>
      <c r="Q73" s="69"/>
      <c r="R73" s="69"/>
      <c r="S73" s="69"/>
      <c r="T73" s="69"/>
      <c r="U73" s="69"/>
      <c r="V73" s="69"/>
      <c r="W73" s="69"/>
      <c r="X73" s="69"/>
      <c r="Y73" s="69"/>
      <c r="Z73" s="69"/>
      <c r="AA73" s="69"/>
      <c r="AB73" s="69"/>
    </row>
    <row r="74" spans="4:28" ht="13.5" customHeight="1" x14ac:dyDescent="0.2">
      <c r="D74" s="69"/>
      <c r="E74" s="69"/>
      <c r="F74" s="69"/>
      <c r="G74" s="69"/>
      <c r="H74" s="69"/>
      <c r="I74" s="69"/>
      <c r="J74" s="69"/>
      <c r="K74" s="69"/>
      <c r="L74" s="69"/>
      <c r="M74" s="69"/>
      <c r="N74" s="69"/>
      <c r="O74" s="69"/>
      <c r="P74" s="69"/>
      <c r="Q74" s="69"/>
      <c r="R74" s="69"/>
      <c r="S74" s="69"/>
      <c r="T74" s="69"/>
      <c r="U74" s="69"/>
      <c r="V74" s="69"/>
      <c r="W74" s="69"/>
      <c r="X74" s="69"/>
      <c r="Y74" s="69"/>
      <c r="Z74" s="69"/>
      <c r="AA74" s="69"/>
      <c r="AB74" s="69"/>
    </row>
    <row r="75" spans="4:28" ht="13.5" customHeight="1" x14ac:dyDescent="0.2">
      <c r="D75" s="69"/>
      <c r="E75" s="69"/>
      <c r="F75" s="69"/>
      <c r="G75" s="69"/>
      <c r="H75" s="69"/>
      <c r="I75" s="69"/>
      <c r="J75" s="69"/>
      <c r="K75" s="69"/>
      <c r="L75" s="69"/>
      <c r="M75" s="69"/>
      <c r="N75" s="69"/>
      <c r="O75" s="69"/>
      <c r="P75" s="69"/>
      <c r="Q75" s="69"/>
      <c r="R75" s="69"/>
      <c r="S75" s="69"/>
      <c r="T75" s="69"/>
      <c r="U75" s="69"/>
      <c r="V75" s="69"/>
      <c r="W75" s="69"/>
      <c r="X75" s="69"/>
      <c r="Y75" s="69"/>
      <c r="Z75" s="69"/>
      <c r="AA75" s="69"/>
      <c r="AB75" s="69"/>
    </row>
    <row r="76" spans="4:28" ht="13.5" customHeight="1" x14ac:dyDescent="0.2">
      <c r="D76" s="69"/>
      <c r="E76" s="69"/>
      <c r="F76" s="69"/>
      <c r="G76" s="69"/>
      <c r="H76" s="69"/>
      <c r="I76" s="69"/>
      <c r="J76" s="69"/>
      <c r="K76" s="69"/>
      <c r="L76" s="69"/>
      <c r="M76" s="69"/>
      <c r="N76" s="69"/>
      <c r="O76" s="69"/>
      <c r="P76" s="69"/>
      <c r="Q76" s="69"/>
      <c r="R76" s="69"/>
      <c r="S76" s="69"/>
      <c r="T76" s="69"/>
      <c r="U76" s="69"/>
      <c r="V76" s="69"/>
      <c r="W76" s="69"/>
      <c r="X76" s="69"/>
      <c r="Y76" s="69"/>
      <c r="Z76" s="69"/>
      <c r="AA76" s="69"/>
      <c r="AB76" s="69"/>
    </row>
    <row r="77" spans="4:28" ht="13.5" customHeight="1" x14ac:dyDescent="0.2">
      <c r="D77" s="69"/>
      <c r="E77" s="69"/>
      <c r="F77" s="69"/>
      <c r="G77" s="69"/>
      <c r="H77" s="69"/>
      <c r="I77" s="69"/>
      <c r="J77" s="69"/>
      <c r="K77" s="69"/>
      <c r="L77" s="69"/>
      <c r="M77" s="69"/>
      <c r="N77" s="69"/>
      <c r="O77" s="69"/>
      <c r="P77" s="69"/>
      <c r="Q77" s="69"/>
      <c r="R77" s="69"/>
      <c r="S77" s="69"/>
      <c r="T77" s="69"/>
      <c r="U77" s="69"/>
      <c r="V77" s="69"/>
      <c r="W77" s="69"/>
      <c r="X77" s="69"/>
      <c r="Y77" s="69"/>
      <c r="Z77" s="69"/>
      <c r="AA77" s="69"/>
      <c r="AB77" s="69"/>
    </row>
    <row r="78" spans="4:28" ht="13.5" customHeight="1" x14ac:dyDescent="0.2">
      <c r="D78" s="69"/>
      <c r="E78" s="69"/>
      <c r="F78" s="69"/>
      <c r="G78" s="69"/>
      <c r="H78" s="69"/>
      <c r="I78" s="69"/>
      <c r="J78" s="69"/>
      <c r="K78" s="69"/>
      <c r="L78" s="69"/>
      <c r="M78" s="69"/>
      <c r="N78" s="69"/>
      <c r="O78" s="69"/>
      <c r="P78" s="69"/>
      <c r="Q78" s="69"/>
      <c r="R78" s="69"/>
      <c r="S78" s="69"/>
      <c r="T78" s="69"/>
      <c r="U78" s="69"/>
      <c r="V78" s="69"/>
      <c r="W78" s="69"/>
      <c r="X78" s="69"/>
      <c r="Y78" s="69"/>
      <c r="Z78" s="69"/>
      <c r="AA78" s="69"/>
      <c r="AB78" s="69"/>
    </row>
    <row r="79" spans="4:28" ht="13.5" customHeight="1" x14ac:dyDescent="0.2">
      <c r="D79" s="69"/>
      <c r="E79" s="69"/>
      <c r="F79" s="69"/>
      <c r="G79" s="69"/>
      <c r="H79" s="69"/>
      <c r="I79" s="69"/>
      <c r="J79" s="69"/>
      <c r="K79" s="69"/>
      <c r="L79" s="69"/>
      <c r="M79" s="69"/>
      <c r="N79" s="69"/>
      <c r="O79" s="69"/>
      <c r="P79" s="69"/>
      <c r="Q79" s="69"/>
      <c r="R79" s="69"/>
      <c r="S79" s="69"/>
      <c r="T79" s="69"/>
      <c r="U79" s="69"/>
      <c r="V79" s="69"/>
      <c r="W79" s="69"/>
      <c r="X79" s="69"/>
      <c r="Y79" s="69"/>
      <c r="Z79" s="69"/>
      <c r="AA79" s="69"/>
      <c r="AB79" s="69"/>
    </row>
    <row r="80" spans="4:28" ht="13.5" customHeight="1" x14ac:dyDescent="0.2">
      <c r="D80" s="69"/>
      <c r="E80" s="69"/>
      <c r="F80" s="69"/>
      <c r="G80" s="69"/>
      <c r="H80" s="69"/>
      <c r="I80" s="69"/>
      <c r="J80" s="69"/>
      <c r="K80" s="69"/>
      <c r="L80" s="69"/>
      <c r="M80" s="69"/>
      <c r="N80" s="69"/>
      <c r="O80" s="69"/>
      <c r="P80" s="69"/>
      <c r="Q80" s="69"/>
      <c r="R80" s="69"/>
      <c r="S80" s="69"/>
      <c r="T80" s="69"/>
      <c r="U80" s="69"/>
      <c r="V80" s="69"/>
      <c r="W80" s="69"/>
      <c r="X80" s="69"/>
      <c r="Y80" s="69"/>
      <c r="Z80" s="69"/>
      <c r="AA80" s="69"/>
      <c r="AB80" s="69"/>
    </row>
    <row r="81" spans="4:28" ht="13.5" customHeight="1" x14ac:dyDescent="0.2">
      <c r="D81" s="69"/>
      <c r="E81" s="69"/>
      <c r="F81" s="69"/>
      <c r="G81" s="69"/>
      <c r="H81" s="69"/>
      <c r="I81" s="69"/>
      <c r="J81" s="69"/>
      <c r="K81" s="69"/>
      <c r="L81" s="69"/>
      <c r="M81" s="69"/>
      <c r="N81" s="69"/>
      <c r="O81" s="69"/>
      <c r="P81" s="69"/>
      <c r="Q81" s="69"/>
      <c r="R81" s="69"/>
      <c r="S81" s="69"/>
      <c r="T81" s="69"/>
      <c r="U81" s="69"/>
      <c r="V81" s="69"/>
      <c r="W81" s="69"/>
      <c r="X81" s="69"/>
      <c r="Y81" s="69"/>
      <c r="Z81" s="69"/>
      <c r="AA81" s="69"/>
      <c r="AB81" s="69"/>
    </row>
    <row r="82" spans="4:28" ht="13.5" customHeight="1" x14ac:dyDescent="0.2">
      <c r="D82" s="69"/>
      <c r="E82" s="69"/>
      <c r="F82" s="69"/>
      <c r="G82" s="69"/>
      <c r="H82" s="69"/>
      <c r="I82" s="69"/>
      <c r="J82" s="69"/>
      <c r="K82" s="69"/>
      <c r="L82" s="69"/>
      <c r="M82" s="69"/>
      <c r="N82" s="69"/>
      <c r="O82" s="69"/>
      <c r="P82" s="69"/>
      <c r="Q82" s="69"/>
      <c r="R82" s="69"/>
      <c r="S82" s="69"/>
      <c r="T82" s="69"/>
      <c r="U82" s="69"/>
      <c r="V82" s="69"/>
      <c r="W82" s="69"/>
      <c r="X82" s="69"/>
      <c r="Y82" s="69"/>
      <c r="Z82" s="69"/>
      <c r="AA82" s="69"/>
      <c r="AB82" s="69"/>
    </row>
    <row r="83" spans="4:28" ht="13.5" customHeight="1" x14ac:dyDescent="0.2">
      <c r="D83" s="69"/>
      <c r="E83" s="69"/>
      <c r="F83" s="69"/>
      <c r="G83" s="69"/>
      <c r="H83" s="69"/>
      <c r="I83" s="69"/>
      <c r="J83" s="69"/>
      <c r="K83" s="69"/>
      <c r="L83" s="69"/>
      <c r="M83" s="69"/>
      <c r="N83" s="69"/>
      <c r="O83" s="69"/>
      <c r="P83" s="69"/>
      <c r="Q83" s="69"/>
      <c r="R83" s="69"/>
      <c r="S83" s="69"/>
      <c r="T83" s="69"/>
      <c r="U83" s="69"/>
      <c r="V83" s="69"/>
      <c r="W83" s="69"/>
      <c r="X83" s="69"/>
      <c r="Y83" s="69"/>
      <c r="Z83" s="69"/>
      <c r="AA83" s="69"/>
      <c r="AB83" s="69"/>
    </row>
    <row r="84" spans="4:28" ht="13.5" customHeight="1" x14ac:dyDescent="0.2">
      <c r="D84" s="69"/>
      <c r="E84" s="69"/>
      <c r="F84" s="69"/>
      <c r="G84" s="69"/>
      <c r="H84" s="69"/>
      <c r="I84" s="69"/>
      <c r="J84" s="69"/>
      <c r="K84" s="69"/>
      <c r="L84" s="69"/>
      <c r="M84" s="69"/>
      <c r="N84" s="69"/>
      <c r="O84" s="69"/>
      <c r="P84" s="69"/>
      <c r="Q84" s="69"/>
      <c r="R84" s="69"/>
      <c r="S84" s="69"/>
      <c r="T84" s="69"/>
      <c r="U84" s="69"/>
      <c r="V84" s="69"/>
      <c r="W84" s="69"/>
      <c r="X84" s="69"/>
      <c r="Y84" s="69"/>
      <c r="Z84" s="69"/>
      <c r="AA84" s="69"/>
      <c r="AB84" s="69"/>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
  <sheetViews>
    <sheetView zoomScale="90" zoomScaleNormal="90" zoomScaleSheetLayoutView="80" workbookViewId="0">
      <selection activeCell="L12" sqref="L12:O12"/>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v>
      </c>
      <c r="D4" s="73" t="s">
        <v>8</v>
      </c>
      <c r="E4" s="73"/>
      <c r="F4" s="73"/>
      <c r="G4" s="73"/>
      <c r="H4" s="73"/>
      <c r="I4" s="10"/>
      <c r="J4" s="11" t="s">
        <v>9</v>
      </c>
      <c r="K4" s="12" t="s">
        <v>10</v>
      </c>
      <c r="L4" s="74" t="s">
        <v>11</v>
      </c>
      <c r="M4" s="74"/>
      <c r="N4" s="74"/>
      <c r="O4" s="74"/>
      <c r="P4" s="11" t="s">
        <v>12</v>
      </c>
      <c r="Q4" s="74" t="s">
        <v>13</v>
      </c>
      <c r="R4" s="74"/>
      <c r="S4" s="11" t="s">
        <v>14</v>
      </c>
      <c r="T4" s="74"/>
      <c r="U4" s="75"/>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60" customHeight="1" thickBot="1" x14ac:dyDescent="0.25">
      <c r="B6" s="13" t="s">
        <v>16</v>
      </c>
      <c r="C6" s="76" t="s">
        <v>17</v>
      </c>
      <c r="D6" s="76"/>
      <c r="E6" s="76"/>
      <c r="F6" s="76"/>
      <c r="G6" s="76"/>
      <c r="H6" s="14"/>
      <c r="I6" s="14"/>
      <c r="J6" s="14" t="s">
        <v>18</v>
      </c>
      <c r="K6" s="76" t="s">
        <v>19</v>
      </c>
      <c r="L6" s="76"/>
      <c r="M6" s="76"/>
      <c r="N6" s="15"/>
      <c r="O6" s="16" t="s">
        <v>20</v>
      </c>
      <c r="P6" s="76" t="s">
        <v>21</v>
      </c>
      <c r="Q6" s="76"/>
      <c r="R6" s="17"/>
      <c r="S6" s="16" t="s">
        <v>22</v>
      </c>
      <c r="T6" s="76" t="s">
        <v>23</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131.25" customHeight="1" thickTop="1" x14ac:dyDescent="0.2">
      <c r="A11" s="21"/>
      <c r="B11" s="22" t="s">
        <v>38</v>
      </c>
      <c r="C11" s="99" t="s">
        <v>39</v>
      </c>
      <c r="D11" s="99"/>
      <c r="E11" s="99"/>
      <c r="F11" s="99"/>
      <c r="G11" s="99"/>
      <c r="H11" s="99"/>
      <c r="I11" s="99" t="s">
        <v>40</v>
      </c>
      <c r="J11" s="99"/>
      <c r="K11" s="99"/>
      <c r="L11" s="100" t="s">
        <v>41</v>
      </c>
      <c r="M11" s="100"/>
      <c r="N11" s="100"/>
      <c r="O11" s="100"/>
      <c r="P11" s="23" t="s">
        <v>42</v>
      </c>
      <c r="Q11" s="23" t="s">
        <v>43</v>
      </c>
      <c r="R11" s="53">
        <v>8.93</v>
      </c>
      <c r="S11" s="53">
        <v>8.93</v>
      </c>
      <c r="T11" s="53">
        <v>0.37</v>
      </c>
      <c r="U11" s="54">
        <f>4.14</f>
        <v>4.1399999999999997</v>
      </c>
    </row>
    <row r="12" spans="1:21" ht="93" customHeight="1" thickBot="1" x14ac:dyDescent="0.25">
      <c r="A12" s="21"/>
      <c r="B12" s="24" t="s">
        <v>44</v>
      </c>
      <c r="C12" s="101" t="s">
        <v>44</v>
      </c>
      <c r="D12" s="101"/>
      <c r="E12" s="101"/>
      <c r="F12" s="101"/>
      <c r="G12" s="101"/>
      <c r="H12" s="101"/>
      <c r="I12" s="101" t="s">
        <v>45</v>
      </c>
      <c r="J12" s="101"/>
      <c r="K12" s="101"/>
      <c r="L12" s="102" t="s">
        <v>46</v>
      </c>
      <c r="M12" s="102"/>
      <c r="N12" s="102"/>
      <c r="O12" s="102"/>
      <c r="P12" s="25" t="s">
        <v>42</v>
      </c>
      <c r="Q12" s="25" t="s">
        <v>43</v>
      </c>
      <c r="R12" s="55">
        <v>26.49</v>
      </c>
      <c r="S12" s="55">
        <v>26.49</v>
      </c>
      <c r="T12" s="55">
        <v>2.89</v>
      </c>
      <c r="U12" s="56">
        <f>10.9</f>
        <v>10.9</v>
      </c>
    </row>
    <row r="13" spans="1:21" ht="75" customHeight="1" thickTop="1" x14ac:dyDescent="0.2">
      <c r="A13" s="21"/>
      <c r="B13" s="22" t="s">
        <v>47</v>
      </c>
      <c r="C13" s="99" t="s">
        <v>48</v>
      </c>
      <c r="D13" s="99"/>
      <c r="E13" s="99"/>
      <c r="F13" s="99"/>
      <c r="G13" s="99"/>
      <c r="H13" s="99"/>
      <c r="I13" s="99" t="s">
        <v>49</v>
      </c>
      <c r="J13" s="99"/>
      <c r="K13" s="99"/>
      <c r="L13" s="100" t="s">
        <v>50</v>
      </c>
      <c r="M13" s="100"/>
      <c r="N13" s="100"/>
      <c r="O13" s="100"/>
      <c r="P13" s="23" t="s">
        <v>42</v>
      </c>
      <c r="Q13" s="23" t="s">
        <v>43</v>
      </c>
      <c r="R13" s="53">
        <v>26.97</v>
      </c>
      <c r="S13" s="53">
        <v>26.97</v>
      </c>
      <c r="T13" s="53">
        <v>4.26</v>
      </c>
      <c r="U13" s="54">
        <f>15.79</f>
        <v>15.79</v>
      </c>
    </row>
    <row r="14" spans="1:21" ht="75" customHeight="1" thickBot="1" x14ac:dyDescent="0.25">
      <c r="A14" s="21"/>
      <c r="B14" s="24" t="s">
        <v>44</v>
      </c>
      <c r="C14" s="101" t="s">
        <v>44</v>
      </c>
      <c r="D14" s="101"/>
      <c r="E14" s="101"/>
      <c r="F14" s="101"/>
      <c r="G14" s="101"/>
      <c r="H14" s="101"/>
      <c r="I14" s="101" t="s">
        <v>51</v>
      </c>
      <c r="J14" s="101"/>
      <c r="K14" s="101"/>
      <c r="L14" s="102" t="s">
        <v>52</v>
      </c>
      <c r="M14" s="102"/>
      <c r="N14" s="102"/>
      <c r="O14" s="102"/>
      <c r="P14" s="25" t="s">
        <v>42</v>
      </c>
      <c r="Q14" s="25" t="s">
        <v>53</v>
      </c>
      <c r="R14" s="55">
        <v>80</v>
      </c>
      <c r="S14" s="55">
        <v>80</v>
      </c>
      <c r="T14" s="55">
        <v>80.5</v>
      </c>
      <c r="U14" s="56">
        <f>100.6</f>
        <v>100.6</v>
      </c>
    </row>
    <row r="15" spans="1:21" ht="75" customHeight="1" thickTop="1" x14ac:dyDescent="0.2">
      <c r="A15" s="21"/>
      <c r="B15" s="22" t="s">
        <v>54</v>
      </c>
      <c r="C15" s="99" t="s">
        <v>55</v>
      </c>
      <c r="D15" s="99"/>
      <c r="E15" s="99"/>
      <c r="F15" s="99"/>
      <c r="G15" s="99"/>
      <c r="H15" s="99"/>
      <c r="I15" s="99" t="s">
        <v>56</v>
      </c>
      <c r="J15" s="99"/>
      <c r="K15" s="99"/>
      <c r="L15" s="100" t="s">
        <v>57</v>
      </c>
      <c r="M15" s="100"/>
      <c r="N15" s="100"/>
      <c r="O15" s="100"/>
      <c r="P15" s="23" t="s">
        <v>42</v>
      </c>
      <c r="Q15" s="23" t="s">
        <v>58</v>
      </c>
      <c r="R15" s="53">
        <v>75.239999999999995</v>
      </c>
      <c r="S15" s="53">
        <v>75.239999999999995</v>
      </c>
      <c r="T15" s="53">
        <v>7.6</v>
      </c>
      <c r="U15" s="54">
        <f>10.1</f>
        <v>10.1</v>
      </c>
    </row>
    <row r="16" spans="1:21" ht="75" customHeight="1" thickBot="1" x14ac:dyDescent="0.25">
      <c r="A16" s="21"/>
      <c r="B16" s="24" t="s">
        <v>44</v>
      </c>
      <c r="C16" s="101" t="s">
        <v>59</v>
      </c>
      <c r="D16" s="101"/>
      <c r="E16" s="101"/>
      <c r="F16" s="101"/>
      <c r="G16" s="101"/>
      <c r="H16" s="101"/>
      <c r="I16" s="101" t="s">
        <v>60</v>
      </c>
      <c r="J16" s="101"/>
      <c r="K16" s="101"/>
      <c r="L16" s="102" t="s">
        <v>61</v>
      </c>
      <c r="M16" s="102"/>
      <c r="N16" s="102"/>
      <c r="O16" s="102"/>
      <c r="P16" s="25" t="s">
        <v>42</v>
      </c>
      <c r="Q16" s="25" t="s">
        <v>43</v>
      </c>
      <c r="R16" s="55">
        <v>24.76</v>
      </c>
      <c r="S16" s="55">
        <v>24.76</v>
      </c>
      <c r="T16" s="55">
        <v>10.4</v>
      </c>
      <c r="U16" s="56">
        <f>42</f>
        <v>42</v>
      </c>
    </row>
    <row r="17" spans="1:22" ht="114.75" customHeight="1" thickTop="1" x14ac:dyDescent="0.2">
      <c r="A17" s="21"/>
      <c r="B17" s="22" t="s">
        <v>62</v>
      </c>
      <c r="C17" s="99" t="s">
        <v>63</v>
      </c>
      <c r="D17" s="99"/>
      <c r="E17" s="99"/>
      <c r="F17" s="99"/>
      <c r="G17" s="99"/>
      <c r="H17" s="99"/>
      <c r="I17" s="99" t="s">
        <v>64</v>
      </c>
      <c r="J17" s="99"/>
      <c r="K17" s="99"/>
      <c r="L17" s="100" t="s">
        <v>65</v>
      </c>
      <c r="M17" s="100"/>
      <c r="N17" s="100"/>
      <c r="O17" s="100"/>
      <c r="P17" s="23" t="s">
        <v>42</v>
      </c>
      <c r="Q17" s="23" t="s">
        <v>58</v>
      </c>
      <c r="R17" s="53">
        <v>152.38</v>
      </c>
      <c r="S17" s="53">
        <v>152.38</v>
      </c>
      <c r="T17" s="53">
        <v>51.43</v>
      </c>
      <c r="U17" s="54">
        <f>33.7</f>
        <v>33.700000000000003</v>
      </c>
    </row>
    <row r="18" spans="1:22" ht="102" customHeight="1" x14ac:dyDescent="0.2">
      <c r="A18" s="21"/>
      <c r="B18" s="24" t="s">
        <v>44</v>
      </c>
      <c r="C18" s="101" t="s">
        <v>66</v>
      </c>
      <c r="D18" s="101"/>
      <c r="E18" s="101"/>
      <c r="F18" s="101"/>
      <c r="G18" s="101"/>
      <c r="H18" s="101"/>
      <c r="I18" s="101" t="s">
        <v>67</v>
      </c>
      <c r="J18" s="101"/>
      <c r="K18" s="101"/>
      <c r="L18" s="102" t="s">
        <v>68</v>
      </c>
      <c r="M18" s="102"/>
      <c r="N18" s="102"/>
      <c r="O18" s="102"/>
      <c r="P18" s="25" t="s">
        <v>42</v>
      </c>
      <c r="Q18" s="25" t="s">
        <v>58</v>
      </c>
      <c r="R18" s="55">
        <v>75.239999999999995</v>
      </c>
      <c r="S18" s="55">
        <v>75.239999999999995</v>
      </c>
      <c r="T18" s="55">
        <v>7.62</v>
      </c>
      <c r="U18" s="56">
        <f>10.1</f>
        <v>10.1</v>
      </c>
    </row>
    <row r="19" spans="1:22" ht="93.75" customHeight="1" x14ac:dyDescent="0.2">
      <c r="A19" s="21"/>
      <c r="B19" s="24" t="s">
        <v>44</v>
      </c>
      <c r="C19" s="101" t="s">
        <v>69</v>
      </c>
      <c r="D19" s="101"/>
      <c r="E19" s="101"/>
      <c r="F19" s="101"/>
      <c r="G19" s="101"/>
      <c r="H19" s="101"/>
      <c r="I19" s="101" t="s">
        <v>70</v>
      </c>
      <c r="J19" s="101"/>
      <c r="K19" s="101"/>
      <c r="L19" s="102" t="s">
        <v>71</v>
      </c>
      <c r="M19" s="102"/>
      <c r="N19" s="102"/>
      <c r="O19" s="102"/>
      <c r="P19" s="25" t="s">
        <v>42</v>
      </c>
      <c r="Q19" s="25" t="s">
        <v>58</v>
      </c>
      <c r="R19" s="55">
        <v>37.14</v>
      </c>
      <c r="S19" s="55">
        <v>37.14</v>
      </c>
      <c r="T19" s="55">
        <v>51.43</v>
      </c>
      <c r="U19" s="56">
        <f>138.4</f>
        <v>138.4</v>
      </c>
    </row>
    <row r="20" spans="1:22" ht="114" customHeight="1" x14ac:dyDescent="0.2">
      <c r="A20" s="21"/>
      <c r="B20" s="24" t="s">
        <v>44</v>
      </c>
      <c r="C20" s="101" t="s">
        <v>72</v>
      </c>
      <c r="D20" s="101"/>
      <c r="E20" s="101"/>
      <c r="F20" s="101"/>
      <c r="G20" s="101"/>
      <c r="H20" s="101"/>
      <c r="I20" s="101" t="s">
        <v>73</v>
      </c>
      <c r="J20" s="101"/>
      <c r="K20" s="101"/>
      <c r="L20" s="102" t="s">
        <v>74</v>
      </c>
      <c r="M20" s="102"/>
      <c r="N20" s="102"/>
      <c r="O20" s="102"/>
      <c r="P20" s="25" t="s">
        <v>42</v>
      </c>
      <c r="Q20" s="25" t="s">
        <v>75</v>
      </c>
      <c r="R20" s="55">
        <v>49.52</v>
      </c>
      <c r="S20" s="55">
        <v>49.52</v>
      </c>
      <c r="T20" s="55">
        <v>10.4</v>
      </c>
      <c r="U20" s="56">
        <f>21</f>
        <v>21</v>
      </c>
    </row>
    <row r="21" spans="1:22" ht="102" customHeight="1" thickBot="1" x14ac:dyDescent="0.25">
      <c r="A21" s="21"/>
      <c r="B21" s="24" t="s">
        <v>44</v>
      </c>
      <c r="C21" s="101" t="s">
        <v>76</v>
      </c>
      <c r="D21" s="101"/>
      <c r="E21" s="101"/>
      <c r="F21" s="101"/>
      <c r="G21" s="101"/>
      <c r="H21" s="101"/>
      <c r="I21" s="101" t="s">
        <v>77</v>
      </c>
      <c r="J21" s="101"/>
      <c r="K21" s="101"/>
      <c r="L21" s="102" t="s">
        <v>78</v>
      </c>
      <c r="M21" s="102"/>
      <c r="N21" s="102"/>
      <c r="O21" s="102"/>
      <c r="P21" s="25" t="s">
        <v>42</v>
      </c>
      <c r="Q21" s="25" t="s">
        <v>75</v>
      </c>
      <c r="R21" s="55">
        <v>24.76</v>
      </c>
      <c r="S21" s="55">
        <v>24.76</v>
      </c>
      <c r="T21" s="55">
        <v>10.47</v>
      </c>
      <c r="U21" s="56">
        <f>42.28</f>
        <v>42.28</v>
      </c>
    </row>
    <row r="22" spans="1:22" ht="14.25" customHeight="1" thickTop="1" thickBot="1" x14ac:dyDescent="0.25">
      <c r="B22" s="4" t="s">
        <v>79</v>
      </c>
      <c r="C22" s="5"/>
      <c r="D22" s="5"/>
      <c r="E22" s="5"/>
      <c r="F22" s="5"/>
      <c r="G22" s="5"/>
      <c r="H22" s="6"/>
      <c r="I22" s="6"/>
      <c r="J22" s="6"/>
      <c r="K22" s="6"/>
      <c r="L22" s="6"/>
      <c r="M22" s="6"/>
      <c r="N22" s="6"/>
      <c r="O22" s="6"/>
      <c r="P22" s="6"/>
      <c r="Q22" s="6"/>
      <c r="R22" s="6"/>
      <c r="S22" s="6"/>
      <c r="T22" s="6"/>
      <c r="U22" s="7"/>
      <c r="V22" s="26"/>
    </row>
    <row r="23" spans="1:22" ht="26.25" customHeight="1" thickTop="1" x14ac:dyDescent="0.2">
      <c r="B23" s="27"/>
      <c r="C23" s="28"/>
      <c r="D23" s="28"/>
      <c r="E23" s="28"/>
      <c r="F23" s="28"/>
      <c r="G23" s="28"/>
      <c r="H23" s="29"/>
      <c r="I23" s="29"/>
      <c r="J23" s="29"/>
      <c r="K23" s="29"/>
      <c r="L23" s="29"/>
      <c r="M23" s="29"/>
      <c r="N23" s="29"/>
      <c r="O23" s="29"/>
      <c r="P23" s="29"/>
      <c r="Q23" s="29"/>
      <c r="R23" s="30"/>
      <c r="S23" s="31" t="s">
        <v>33</v>
      </c>
      <c r="T23" s="31" t="s">
        <v>80</v>
      </c>
      <c r="U23" s="18" t="s">
        <v>81</v>
      </c>
    </row>
    <row r="24" spans="1:22" ht="33" customHeight="1" thickBot="1" x14ac:dyDescent="0.25">
      <c r="B24" s="32"/>
      <c r="C24" s="33"/>
      <c r="D24" s="33"/>
      <c r="E24" s="33"/>
      <c r="F24" s="33"/>
      <c r="G24" s="33"/>
      <c r="H24" s="34"/>
      <c r="I24" s="34"/>
      <c r="J24" s="34"/>
      <c r="K24" s="34"/>
      <c r="L24" s="34"/>
      <c r="M24" s="34"/>
      <c r="N24" s="34"/>
      <c r="O24" s="34"/>
      <c r="P24" s="34"/>
      <c r="Q24" s="34"/>
      <c r="R24" s="34"/>
      <c r="S24" s="35" t="s">
        <v>82</v>
      </c>
      <c r="T24" s="36" t="s">
        <v>82</v>
      </c>
      <c r="U24" s="36" t="s">
        <v>83</v>
      </c>
    </row>
    <row r="25" spans="1:22" ht="18" customHeight="1" thickBot="1" x14ac:dyDescent="0.25">
      <c r="B25" s="106" t="s">
        <v>84</v>
      </c>
      <c r="C25" s="107"/>
      <c r="D25" s="107"/>
      <c r="E25" s="37"/>
      <c r="F25" s="37"/>
      <c r="G25" s="37"/>
      <c r="H25" s="38"/>
      <c r="I25" s="38"/>
      <c r="J25" s="38"/>
      <c r="K25" s="38"/>
      <c r="L25" s="38"/>
      <c r="M25" s="38"/>
      <c r="N25" s="38"/>
      <c r="O25" s="38"/>
      <c r="P25" s="39"/>
      <c r="Q25" s="39"/>
      <c r="R25" s="39"/>
      <c r="S25" s="63">
        <v>506.5</v>
      </c>
      <c r="T25" s="63">
        <v>114.37940789999999</v>
      </c>
      <c r="U25" s="64">
        <f>+IF(ISERR(T25/S25*100),"N/A",ROUND(T25/S25*100,1))</f>
        <v>22.6</v>
      </c>
    </row>
    <row r="26" spans="1:22" ht="18" customHeight="1" thickBot="1" x14ac:dyDescent="0.25">
      <c r="B26" s="108" t="s">
        <v>85</v>
      </c>
      <c r="C26" s="109"/>
      <c r="D26" s="109"/>
      <c r="E26" s="40"/>
      <c r="F26" s="40"/>
      <c r="G26" s="40"/>
      <c r="H26" s="41"/>
      <c r="I26" s="41"/>
      <c r="J26" s="41"/>
      <c r="K26" s="41"/>
      <c r="L26" s="41"/>
      <c r="M26" s="41"/>
      <c r="N26" s="41"/>
      <c r="O26" s="41"/>
      <c r="P26" s="42"/>
      <c r="Q26" s="42"/>
      <c r="R26" s="42"/>
      <c r="S26" s="63">
        <v>114.37940789999995</v>
      </c>
      <c r="T26" s="63">
        <v>114.37940789999999</v>
      </c>
      <c r="U26" s="64">
        <f>+IF(ISERR(T26/S26*100),"N/A",ROUND(T26/S26*100,1))</f>
        <v>100</v>
      </c>
    </row>
    <row r="27" spans="1:22" ht="14.85" customHeight="1" thickTop="1" thickBot="1" x14ac:dyDescent="0.25">
      <c r="B27" s="4" t="s">
        <v>86</v>
      </c>
      <c r="C27" s="5"/>
      <c r="D27" s="5"/>
      <c r="E27" s="5"/>
      <c r="F27" s="5"/>
      <c r="G27" s="5"/>
      <c r="H27" s="6"/>
      <c r="I27" s="6"/>
      <c r="J27" s="6"/>
      <c r="K27" s="6"/>
      <c r="L27" s="6"/>
      <c r="M27" s="6"/>
      <c r="N27" s="6"/>
      <c r="O27" s="6"/>
      <c r="P27" s="6"/>
      <c r="Q27" s="6"/>
      <c r="R27" s="6"/>
      <c r="S27" s="6"/>
      <c r="T27" s="6"/>
      <c r="U27" s="7"/>
    </row>
    <row r="28" spans="1:22" ht="44.25" customHeight="1" thickTop="1" x14ac:dyDescent="0.2">
      <c r="B28" s="110" t="s">
        <v>87</v>
      </c>
      <c r="C28" s="111"/>
      <c r="D28" s="111"/>
      <c r="E28" s="111"/>
      <c r="F28" s="111"/>
      <c r="G28" s="111"/>
      <c r="H28" s="111"/>
      <c r="I28" s="111"/>
      <c r="J28" s="111"/>
      <c r="K28" s="111"/>
      <c r="L28" s="111"/>
      <c r="M28" s="111"/>
      <c r="N28" s="111"/>
      <c r="O28" s="111"/>
      <c r="P28" s="111"/>
      <c r="Q28" s="111"/>
      <c r="R28" s="111"/>
      <c r="S28" s="111"/>
      <c r="T28" s="111"/>
      <c r="U28" s="112"/>
    </row>
    <row r="29" spans="1:22" ht="294.75" customHeight="1" x14ac:dyDescent="0.2">
      <c r="B29" s="103" t="s">
        <v>88</v>
      </c>
      <c r="C29" s="104"/>
      <c r="D29" s="104"/>
      <c r="E29" s="104"/>
      <c r="F29" s="104"/>
      <c r="G29" s="104"/>
      <c r="H29" s="104"/>
      <c r="I29" s="104"/>
      <c r="J29" s="104"/>
      <c r="K29" s="104"/>
      <c r="L29" s="104"/>
      <c r="M29" s="104"/>
      <c r="N29" s="104"/>
      <c r="O29" s="104"/>
      <c r="P29" s="104"/>
      <c r="Q29" s="104"/>
      <c r="R29" s="104"/>
      <c r="S29" s="104"/>
      <c r="T29" s="104"/>
      <c r="U29" s="105"/>
    </row>
    <row r="30" spans="1:22" ht="290.25" customHeight="1" x14ac:dyDescent="0.2">
      <c r="B30" s="103" t="s">
        <v>89</v>
      </c>
      <c r="C30" s="104"/>
      <c r="D30" s="104"/>
      <c r="E30" s="104"/>
      <c r="F30" s="104"/>
      <c r="G30" s="104"/>
      <c r="H30" s="104"/>
      <c r="I30" s="104"/>
      <c r="J30" s="104"/>
      <c r="K30" s="104"/>
      <c r="L30" s="104"/>
      <c r="M30" s="104"/>
      <c r="N30" s="104"/>
      <c r="O30" s="104"/>
      <c r="P30" s="104"/>
      <c r="Q30" s="104"/>
      <c r="R30" s="104"/>
      <c r="S30" s="104"/>
      <c r="T30" s="104"/>
      <c r="U30" s="105"/>
    </row>
    <row r="31" spans="1:22" ht="389.85" customHeight="1" x14ac:dyDescent="0.2">
      <c r="B31" s="103" t="s">
        <v>90</v>
      </c>
      <c r="C31" s="104"/>
      <c r="D31" s="104"/>
      <c r="E31" s="104"/>
      <c r="F31" s="104"/>
      <c r="G31" s="104"/>
      <c r="H31" s="104"/>
      <c r="I31" s="104"/>
      <c r="J31" s="104"/>
      <c r="K31" s="104"/>
      <c r="L31" s="104"/>
      <c r="M31" s="104"/>
      <c r="N31" s="104"/>
      <c r="O31" s="104"/>
      <c r="P31" s="104"/>
      <c r="Q31" s="104"/>
      <c r="R31" s="104"/>
      <c r="S31" s="104"/>
      <c r="T31" s="104"/>
      <c r="U31" s="105"/>
    </row>
    <row r="32" spans="1:22" ht="114" customHeight="1" x14ac:dyDescent="0.2">
      <c r="B32" s="103" t="s">
        <v>91</v>
      </c>
      <c r="C32" s="104"/>
      <c r="D32" s="104"/>
      <c r="E32" s="104"/>
      <c r="F32" s="104"/>
      <c r="G32" s="104"/>
      <c r="H32" s="104"/>
      <c r="I32" s="104"/>
      <c r="J32" s="104"/>
      <c r="K32" s="104"/>
      <c r="L32" s="104"/>
      <c r="M32" s="104"/>
      <c r="N32" s="104"/>
      <c r="O32" s="104"/>
      <c r="P32" s="104"/>
      <c r="Q32" s="104"/>
      <c r="R32" s="104"/>
      <c r="S32" s="104"/>
      <c r="T32" s="104"/>
      <c r="U32" s="105"/>
    </row>
    <row r="33" spans="2:21" ht="270.75" customHeight="1" x14ac:dyDescent="0.2">
      <c r="B33" s="103" t="s">
        <v>92</v>
      </c>
      <c r="C33" s="104"/>
      <c r="D33" s="104"/>
      <c r="E33" s="104"/>
      <c r="F33" s="104"/>
      <c r="G33" s="104"/>
      <c r="H33" s="104"/>
      <c r="I33" s="104"/>
      <c r="J33" s="104"/>
      <c r="K33" s="104"/>
      <c r="L33" s="104"/>
      <c r="M33" s="104"/>
      <c r="N33" s="104"/>
      <c r="O33" s="104"/>
      <c r="P33" s="104"/>
      <c r="Q33" s="104"/>
      <c r="R33" s="104"/>
      <c r="S33" s="104"/>
      <c r="T33" s="104"/>
      <c r="U33" s="105"/>
    </row>
    <row r="34" spans="2:21" ht="283.5" customHeight="1" x14ac:dyDescent="0.2">
      <c r="B34" s="103" t="s">
        <v>93</v>
      </c>
      <c r="C34" s="104"/>
      <c r="D34" s="104"/>
      <c r="E34" s="104"/>
      <c r="F34" s="104"/>
      <c r="G34" s="104"/>
      <c r="H34" s="104"/>
      <c r="I34" s="104"/>
      <c r="J34" s="104"/>
      <c r="K34" s="104"/>
      <c r="L34" s="104"/>
      <c r="M34" s="104"/>
      <c r="N34" s="104"/>
      <c r="O34" s="104"/>
      <c r="P34" s="104"/>
      <c r="Q34" s="104"/>
      <c r="R34" s="104"/>
      <c r="S34" s="104"/>
      <c r="T34" s="104"/>
      <c r="U34" s="105"/>
    </row>
    <row r="35" spans="2:21" ht="202.5" customHeight="1" x14ac:dyDescent="0.2">
      <c r="B35" s="103" t="s">
        <v>94</v>
      </c>
      <c r="C35" s="104"/>
      <c r="D35" s="104"/>
      <c r="E35" s="104"/>
      <c r="F35" s="104"/>
      <c r="G35" s="104"/>
      <c r="H35" s="104"/>
      <c r="I35" s="104"/>
      <c r="J35" s="104"/>
      <c r="K35" s="104"/>
      <c r="L35" s="104"/>
      <c r="M35" s="104"/>
      <c r="N35" s="104"/>
      <c r="O35" s="104"/>
      <c r="P35" s="104"/>
      <c r="Q35" s="104"/>
      <c r="R35" s="104"/>
      <c r="S35" s="104"/>
      <c r="T35" s="104"/>
      <c r="U35" s="105"/>
    </row>
    <row r="36" spans="2:21" ht="194.85" customHeight="1" x14ac:dyDescent="0.2">
      <c r="B36" s="103" t="s">
        <v>95</v>
      </c>
      <c r="C36" s="104"/>
      <c r="D36" s="104"/>
      <c r="E36" s="104"/>
      <c r="F36" s="104"/>
      <c r="G36" s="104"/>
      <c r="H36" s="104"/>
      <c r="I36" s="104"/>
      <c r="J36" s="104"/>
      <c r="K36" s="104"/>
      <c r="L36" s="104"/>
      <c r="M36" s="104"/>
      <c r="N36" s="104"/>
      <c r="O36" s="104"/>
      <c r="P36" s="104"/>
      <c r="Q36" s="104"/>
      <c r="R36" s="104"/>
      <c r="S36" s="104"/>
      <c r="T36" s="104"/>
      <c r="U36" s="105"/>
    </row>
    <row r="37" spans="2:21" ht="116.45" customHeight="1" x14ac:dyDescent="0.2">
      <c r="B37" s="103" t="s">
        <v>96</v>
      </c>
      <c r="C37" s="104"/>
      <c r="D37" s="104"/>
      <c r="E37" s="104"/>
      <c r="F37" s="104"/>
      <c r="G37" s="104"/>
      <c r="H37" s="104"/>
      <c r="I37" s="104"/>
      <c r="J37" s="104"/>
      <c r="K37" s="104"/>
      <c r="L37" s="104"/>
      <c r="M37" s="104"/>
      <c r="N37" s="104"/>
      <c r="O37" s="104"/>
      <c r="P37" s="104"/>
      <c r="Q37" s="104"/>
      <c r="R37" s="104"/>
      <c r="S37" s="104"/>
      <c r="T37" s="104"/>
      <c r="U37" s="105"/>
    </row>
    <row r="38" spans="2:21" ht="89.25" customHeight="1" x14ac:dyDescent="0.2">
      <c r="B38" s="103" t="s">
        <v>97</v>
      </c>
      <c r="C38" s="104"/>
      <c r="D38" s="104"/>
      <c r="E38" s="104"/>
      <c r="F38" s="104"/>
      <c r="G38" s="104"/>
      <c r="H38" s="104"/>
      <c r="I38" s="104"/>
      <c r="J38" s="104"/>
      <c r="K38" s="104"/>
      <c r="L38" s="104"/>
      <c r="M38" s="104"/>
      <c r="N38" s="104"/>
      <c r="O38" s="104"/>
      <c r="P38" s="104"/>
      <c r="Q38" s="104"/>
      <c r="R38" s="104"/>
      <c r="S38" s="104"/>
      <c r="T38" s="104"/>
      <c r="U38" s="105"/>
    </row>
    <row r="39" spans="2:21" ht="195" customHeight="1" thickBot="1" x14ac:dyDescent="0.25">
      <c r="B39" s="113" t="s">
        <v>98</v>
      </c>
      <c r="C39" s="114"/>
      <c r="D39" s="114"/>
      <c r="E39" s="114"/>
      <c r="F39" s="114"/>
      <c r="G39" s="114"/>
      <c r="H39" s="114"/>
      <c r="I39" s="114"/>
      <c r="J39" s="114"/>
      <c r="K39" s="114"/>
      <c r="L39" s="114"/>
      <c r="M39" s="114"/>
      <c r="N39" s="114"/>
      <c r="O39" s="114"/>
      <c r="P39" s="114"/>
      <c r="Q39" s="114"/>
      <c r="R39" s="114"/>
      <c r="S39" s="114"/>
      <c r="T39" s="114"/>
      <c r="U39" s="115"/>
    </row>
  </sheetData>
  <mergeCells count="68">
    <mergeCell ref="B38:U38"/>
    <mergeCell ref="B39:U39"/>
    <mergeCell ref="B32:U32"/>
    <mergeCell ref="B33:U33"/>
    <mergeCell ref="B34:U34"/>
    <mergeCell ref="B35:U35"/>
    <mergeCell ref="B36:U36"/>
    <mergeCell ref="B37:U37"/>
    <mergeCell ref="B31:U31"/>
    <mergeCell ref="C20:H20"/>
    <mergeCell ref="I20:K20"/>
    <mergeCell ref="L20:O20"/>
    <mergeCell ref="C21:H21"/>
    <mergeCell ref="I21:K21"/>
    <mergeCell ref="L21:O21"/>
    <mergeCell ref="B25:D25"/>
    <mergeCell ref="B26:D26"/>
    <mergeCell ref="B28:U28"/>
    <mergeCell ref="B29:U29"/>
    <mergeCell ref="B30:U30"/>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65"/>
  <sheetViews>
    <sheetView topLeftCell="K34" zoomScale="80" zoomScaleNormal="80" zoomScaleSheetLayoutView="80" workbookViewId="0">
      <selection activeCell="U40" sqref="U40"/>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4.875" style="1" customWidth="1"/>
    <col min="20" max="20" width="13.3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4" t="s">
        <v>6</v>
      </c>
      <c r="C4" s="45" t="s">
        <v>99</v>
      </c>
      <c r="D4" s="116" t="s">
        <v>100</v>
      </c>
      <c r="E4" s="116"/>
      <c r="F4" s="116"/>
      <c r="G4" s="116"/>
      <c r="H4" s="116"/>
      <c r="I4" s="46"/>
      <c r="J4" s="47" t="s">
        <v>9</v>
      </c>
      <c r="K4" s="48" t="s">
        <v>10</v>
      </c>
      <c r="L4" s="117" t="s">
        <v>11</v>
      </c>
      <c r="M4" s="117"/>
      <c r="N4" s="117"/>
      <c r="O4" s="117"/>
      <c r="P4" s="47" t="s">
        <v>12</v>
      </c>
      <c r="Q4" s="117" t="s">
        <v>101</v>
      </c>
      <c r="R4" s="117"/>
      <c r="S4" s="47" t="s">
        <v>14</v>
      </c>
      <c r="T4" s="117"/>
      <c r="U4" s="118"/>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37.5" customHeight="1" thickBot="1" x14ac:dyDescent="0.25">
      <c r="B6" s="49" t="s">
        <v>16</v>
      </c>
      <c r="C6" s="119" t="s">
        <v>102</v>
      </c>
      <c r="D6" s="119"/>
      <c r="E6" s="119"/>
      <c r="F6" s="119"/>
      <c r="G6" s="119"/>
      <c r="H6" s="50"/>
      <c r="I6" s="50"/>
      <c r="J6" s="50" t="s">
        <v>18</v>
      </c>
      <c r="K6" s="119" t="s">
        <v>103</v>
      </c>
      <c r="L6" s="119"/>
      <c r="M6" s="119"/>
      <c r="N6" s="51"/>
      <c r="O6" s="50" t="s">
        <v>20</v>
      </c>
      <c r="P6" s="119" t="s">
        <v>104</v>
      </c>
      <c r="Q6" s="119"/>
      <c r="R6" s="52"/>
      <c r="S6" s="50" t="s">
        <v>22</v>
      </c>
      <c r="T6" s="119" t="s">
        <v>105</v>
      </c>
      <c r="U6" s="12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94.5" customHeight="1" thickTop="1" x14ac:dyDescent="0.2">
      <c r="A11" s="21"/>
      <c r="B11" s="22" t="s">
        <v>38</v>
      </c>
      <c r="C11" s="99" t="s">
        <v>106</v>
      </c>
      <c r="D11" s="99"/>
      <c r="E11" s="99"/>
      <c r="F11" s="99"/>
      <c r="G11" s="99"/>
      <c r="H11" s="99"/>
      <c r="I11" s="99" t="s">
        <v>107</v>
      </c>
      <c r="J11" s="99"/>
      <c r="K11" s="99"/>
      <c r="L11" s="100" t="s">
        <v>108</v>
      </c>
      <c r="M11" s="100"/>
      <c r="N11" s="100"/>
      <c r="O11" s="100"/>
      <c r="P11" s="23" t="s">
        <v>42</v>
      </c>
      <c r="Q11" s="23" t="s">
        <v>109</v>
      </c>
      <c r="R11" s="53" t="s">
        <v>110</v>
      </c>
      <c r="S11" s="53" t="s">
        <v>110</v>
      </c>
      <c r="T11" s="53" t="s">
        <v>110</v>
      </c>
      <c r="U11" s="54" t="str">
        <f>"N/A"</f>
        <v>N/A</v>
      </c>
    </row>
    <row r="12" spans="1:21" ht="279.75" customHeight="1" x14ac:dyDescent="0.2">
      <c r="A12" s="21"/>
      <c r="B12" s="24" t="s">
        <v>44</v>
      </c>
      <c r="C12" s="101" t="s">
        <v>44</v>
      </c>
      <c r="D12" s="101"/>
      <c r="E12" s="101"/>
      <c r="F12" s="101"/>
      <c r="G12" s="101"/>
      <c r="H12" s="101"/>
      <c r="I12" s="101" t="s">
        <v>111</v>
      </c>
      <c r="J12" s="101"/>
      <c r="K12" s="101"/>
      <c r="L12" s="102" t="s">
        <v>112</v>
      </c>
      <c r="M12" s="102"/>
      <c r="N12" s="102"/>
      <c r="O12" s="102"/>
      <c r="P12" s="25" t="s">
        <v>113</v>
      </c>
      <c r="Q12" s="25" t="s">
        <v>114</v>
      </c>
      <c r="R12" s="55" t="s">
        <v>110</v>
      </c>
      <c r="S12" s="55" t="s">
        <v>110</v>
      </c>
      <c r="T12" s="55" t="s">
        <v>110</v>
      </c>
      <c r="U12" s="56" t="str">
        <f>"N/A"</f>
        <v>N/A</v>
      </c>
    </row>
    <row r="13" spans="1:21" ht="90.75" customHeight="1" thickBot="1" x14ac:dyDescent="0.25">
      <c r="A13" s="21"/>
      <c r="B13" s="24" t="s">
        <v>44</v>
      </c>
      <c r="C13" s="101" t="s">
        <v>44</v>
      </c>
      <c r="D13" s="101"/>
      <c r="E13" s="101"/>
      <c r="F13" s="101"/>
      <c r="G13" s="101"/>
      <c r="H13" s="101"/>
      <c r="I13" s="101" t="s">
        <v>115</v>
      </c>
      <c r="J13" s="101"/>
      <c r="K13" s="101"/>
      <c r="L13" s="102" t="s">
        <v>116</v>
      </c>
      <c r="M13" s="102"/>
      <c r="N13" s="102"/>
      <c r="O13" s="102"/>
      <c r="P13" s="25" t="s">
        <v>42</v>
      </c>
      <c r="Q13" s="25" t="s">
        <v>114</v>
      </c>
      <c r="R13" s="55" t="s">
        <v>110</v>
      </c>
      <c r="S13" s="55" t="s">
        <v>110</v>
      </c>
      <c r="T13" s="55" t="s">
        <v>110</v>
      </c>
      <c r="U13" s="56" t="str">
        <f>"N/A"</f>
        <v>N/A</v>
      </c>
    </row>
    <row r="14" spans="1:21" ht="75" customHeight="1" thickTop="1" x14ac:dyDescent="0.2">
      <c r="A14" s="21"/>
      <c r="B14" s="22" t="s">
        <v>47</v>
      </c>
      <c r="C14" s="99" t="s">
        <v>117</v>
      </c>
      <c r="D14" s="99"/>
      <c r="E14" s="99"/>
      <c r="F14" s="99"/>
      <c r="G14" s="99"/>
      <c r="H14" s="99"/>
      <c r="I14" s="99" t="s">
        <v>118</v>
      </c>
      <c r="J14" s="99"/>
      <c r="K14" s="99"/>
      <c r="L14" s="100" t="s">
        <v>119</v>
      </c>
      <c r="M14" s="100"/>
      <c r="N14" s="100"/>
      <c r="O14" s="100"/>
      <c r="P14" s="23" t="s">
        <v>120</v>
      </c>
      <c r="Q14" s="23" t="s">
        <v>43</v>
      </c>
      <c r="R14" s="53">
        <v>41.95</v>
      </c>
      <c r="S14" s="53">
        <v>35.119999999999997</v>
      </c>
      <c r="T14" s="53">
        <v>41.89</v>
      </c>
      <c r="U14" s="54">
        <f>119.27</f>
        <v>119.27</v>
      </c>
    </row>
    <row r="15" spans="1:21" ht="156.75" customHeight="1" x14ac:dyDescent="0.2">
      <c r="A15" s="21"/>
      <c r="B15" s="24" t="s">
        <v>44</v>
      </c>
      <c r="C15" s="101" t="s">
        <v>44</v>
      </c>
      <c r="D15" s="101"/>
      <c r="E15" s="101"/>
      <c r="F15" s="101"/>
      <c r="G15" s="101"/>
      <c r="H15" s="101"/>
      <c r="I15" s="101" t="s">
        <v>121</v>
      </c>
      <c r="J15" s="101"/>
      <c r="K15" s="101"/>
      <c r="L15" s="102" t="s">
        <v>122</v>
      </c>
      <c r="M15" s="102"/>
      <c r="N15" s="102"/>
      <c r="O15" s="102"/>
      <c r="P15" s="25" t="s">
        <v>42</v>
      </c>
      <c r="Q15" s="25" t="s">
        <v>114</v>
      </c>
      <c r="R15" s="55" t="s">
        <v>110</v>
      </c>
      <c r="S15" s="55" t="s">
        <v>110</v>
      </c>
      <c r="T15" s="55" t="s">
        <v>110</v>
      </c>
      <c r="U15" s="56" t="str">
        <f>"N/A"</f>
        <v>N/A</v>
      </c>
    </row>
    <row r="16" spans="1:21" ht="75" customHeight="1" x14ac:dyDescent="0.2">
      <c r="A16" s="21"/>
      <c r="B16" s="24" t="s">
        <v>44</v>
      </c>
      <c r="C16" s="101" t="s">
        <v>44</v>
      </c>
      <c r="D16" s="101"/>
      <c r="E16" s="101"/>
      <c r="F16" s="101"/>
      <c r="G16" s="101"/>
      <c r="H16" s="101"/>
      <c r="I16" s="101" t="s">
        <v>123</v>
      </c>
      <c r="J16" s="101"/>
      <c r="K16" s="101"/>
      <c r="L16" s="102" t="s">
        <v>124</v>
      </c>
      <c r="M16" s="102"/>
      <c r="N16" s="102"/>
      <c r="O16" s="102"/>
      <c r="P16" s="25" t="s">
        <v>125</v>
      </c>
      <c r="Q16" s="25" t="s">
        <v>43</v>
      </c>
      <c r="R16" s="55" t="s">
        <v>110</v>
      </c>
      <c r="S16" s="43">
        <v>1425565</v>
      </c>
      <c r="T16" s="43">
        <v>1249025</v>
      </c>
      <c r="U16" s="56">
        <f>87.62</f>
        <v>87.62</v>
      </c>
    </row>
    <row r="17" spans="1:21" ht="102" customHeight="1" x14ac:dyDescent="0.2">
      <c r="A17" s="21"/>
      <c r="B17" s="24" t="s">
        <v>44</v>
      </c>
      <c r="C17" s="101" t="s">
        <v>44</v>
      </c>
      <c r="D17" s="101"/>
      <c r="E17" s="101"/>
      <c r="F17" s="101"/>
      <c r="G17" s="101"/>
      <c r="H17" s="101"/>
      <c r="I17" s="101" t="s">
        <v>126</v>
      </c>
      <c r="J17" s="101"/>
      <c r="K17" s="101"/>
      <c r="L17" s="102" t="s">
        <v>127</v>
      </c>
      <c r="M17" s="102"/>
      <c r="N17" s="102"/>
      <c r="O17" s="102"/>
      <c r="P17" s="25" t="s">
        <v>128</v>
      </c>
      <c r="Q17" s="25" t="s">
        <v>129</v>
      </c>
      <c r="R17" s="55" t="s">
        <v>110</v>
      </c>
      <c r="S17" s="43">
        <v>118863</v>
      </c>
      <c r="T17" s="43">
        <v>122386</v>
      </c>
      <c r="U17" s="56">
        <f>102.96</f>
        <v>102.96</v>
      </c>
    </row>
    <row r="18" spans="1:21" ht="124.5" customHeight="1" thickBot="1" x14ac:dyDescent="0.25">
      <c r="A18" s="21"/>
      <c r="B18" s="24" t="s">
        <v>44</v>
      </c>
      <c r="C18" s="101" t="s">
        <v>44</v>
      </c>
      <c r="D18" s="101"/>
      <c r="E18" s="101"/>
      <c r="F18" s="101"/>
      <c r="G18" s="101"/>
      <c r="H18" s="101"/>
      <c r="I18" s="101" t="s">
        <v>130</v>
      </c>
      <c r="J18" s="101"/>
      <c r="K18" s="101"/>
      <c r="L18" s="102" t="s">
        <v>131</v>
      </c>
      <c r="M18" s="102"/>
      <c r="N18" s="102"/>
      <c r="O18" s="102"/>
      <c r="P18" s="25" t="s">
        <v>42</v>
      </c>
      <c r="Q18" s="25" t="s">
        <v>129</v>
      </c>
      <c r="R18" s="55">
        <v>90</v>
      </c>
      <c r="S18" s="55">
        <v>90</v>
      </c>
      <c r="T18" s="55">
        <v>93.88</v>
      </c>
      <c r="U18" s="56">
        <f>104.3</f>
        <v>104.3</v>
      </c>
    </row>
    <row r="19" spans="1:21" ht="75" customHeight="1" thickTop="1" x14ac:dyDescent="0.2">
      <c r="A19" s="21"/>
      <c r="B19" s="22" t="s">
        <v>54</v>
      </c>
      <c r="C19" s="99" t="s">
        <v>132</v>
      </c>
      <c r="D19" s="99"/>
      <c r="E19" s="99"/>
      <c r="F19" s="99"/>
      <c r="G19" s="99"/>
      <c r="H19" s="99"/>
      <c r="I19" s="99" t="s">
        <v>133</v>
      </c>
      <c r="J19" s="99"/>
      <c r="K19" s="99"/>
      <c r="L19" s="100" t="s">
        <v>134</v>
      </c>
      <c r="M19" s="100"/>
      <c r="N19" s="100"/>
      <c r="O19" s="100"/>
      <c r="P19" s="23" t="s">
        <v>135</v>
      </c>
      <c r="Q19" s="23" t="s">
        <v>43</v>
      </c>
      <c r="R19" s="53" t="s">
        <v>110</v>
      </c>
      <c r="S19" s="53">
        <v>4091960</v>
      </c>
      <c r="T19" s="53">
        <v>3765503</v>
      </c>
      <c r="U19" s="54">
        <f>92.02</f>
        <v>92.02</v>
      </c>
    </row>
    <row r="20" spans="1:21" ht="141" customHeight="1" x14ac:dyDescent="0.2">
      <c r="A20" s="21"/>
      <c r="B20" s="24" t="s">
        <v>44</v>
      </c>
      <c r="C20" s="101" t="s">
        <v>44</v>
      </c>
      <c r="D20" s="101"/>
      <c r="E20" s="101"/>
      <c r="F20" s="101"/>
      <c r="G20" s="101"/>
      <c r="H20" s="101"/>
      <c r="I20" s="101" t="s">
        <v>136</v>
      </c>
      <c r="J20" s="101"/>
      <c r="K20" s="101"/>
      <c r="L20" s="102" t="s">
        <v>137</v>
      </c>
      <c r="M20" s="102"/>
      <c r="N20" s="102"/>
      <c r="O20" s="102"/>
      <c r="P20" s="25" t="s">
        <v>138</v>
      </c>
      <c r="Q20" s="25" t="s">
        <v>139</v>
      </c>
      <c r="R20" s="55" t="s">
        <v>110</v>
      </c>
      <c r="S20" s="57">
        <v>58</v>
      </c>
      <c r="T20" s="57">
        <v>78</v>
      </c>
      <c r="U20" s="56">
        <f>134.48</f>
        <v>134.47999999999999</v>
      </c>
    </row>
    <row r="21" spans="1:21" ht="75" customHeight="1" x14ac:dyDescent="0.2">
      <c r="A21" s="21"/>
      <c r="B21" s="24" t="s">
        <v>44</v>
      </c>
      <c r="C21" s="101" t="s">
        <v>44</v>
      </c>
      <c r="D21" s="101"/>
      <c r="E21" s="101"/>
      <c r="F21" s="101"/>
      <c r="G21" s="101"/>
      <c r="H21" s="101"/>
      <c r="I21" s="101" t="s">
        <v>140</v>
      </c>
      <c r="J21" s="101"/>
      <c r="K21" s="101"/>
      <c r="L21" s="102" t="s">
        <v>141</v>
      </c>
      <c r="M21" s="102"/>
      <c r="N21" s="102"/>
      <c r="O21" s="102"/>
      <c r="P21" s="25" t="s">
        <v>142</v>
      </c>
      <c r="Q21" s="25" t="s">
        <v>43</v>
      </c>
      <c r="R21" s="55" t="s">
        <v>110</v>
      </c>
      <c r="S21" s="57">
        <v>339</v>
      </c>
      <c r="T21" s="57">
        <v>365</v>
      </c>
      <c r="U21" s="56">
        <f>107.67</f>
        <v>107.67</v>
      </c>
    </row>
    <row r="22" spans="1:21" ht="75" customHeight="1" x14ac:dyDescent="0.2">
      <c r="A22" s="21"/>
      <c r="B22" s="24" t="s">
        <v>44</v>
      </c>
      <c r="C22" s="101" t="s">
        <v>44</v>
      </c>
      <c r="D22" s="101"/>
      <c r="E22" s="101"/>
      <c r="F22" s="101"/>
      <c r="G22" s="101"/>
      <c r="H22" s="101"/>
      <c r="I22" s="101" t="s">
        <v>143</v>
      </c>
      <c r="J22" s="101"/>
      <c r="K22" s="101"/>
      <c r="L22" s="102" t="s">
        <v>144</v>
      </c>
      <c r="M22" s="102"/>
      <c r="N22" s="102"/>
      <c r="O22" s="102"/>
      <c r="P22" s="25" t="s">
        <v>145</v>
      </c>
      <c r="Q22" s="25" t="s">
        <v>43</v>
      </c>
      <c r="R22" s="55" t="s">
        <v>110</v>
      </c>
      <c r="S22" s="55">
        <v>590070</v>
      </c>
      <c r="T22" s="55">
        <v>629875</v>
      </c>
      <c r="U22" s="56">
        <f>106.75</f>
        <v>106.75</v>
      </c>
    </row>
    <row r="23" spans="1:21" ht="75" customHeight="1" x14ac:dyDescent="0.2">
      <c r="A23" s="21"/>
      <c r="B23" s="24" t="s">
        <v>44</v>
      </c>
      <c r="C23" s="101" t="s">
        <v>44</v>
      </c>
      <c r="D23" s="101"/>
      <c r="E23" s="101"/>
      <c r="F23" s="101"/>
      <c r="G23" s="101"/>
      <c r="H23" s="101"/>
      <c r="I23" s="101" t="s">
        <v>146</v>
      </c>
      <c r="J23" s="101"/>
      <c r="K23" s="101"/>
      <c r="L23" s="102" t="s">
        <v>147</v>
      </c>
      <c r="M23" s="102"/>
      <c r="N23" s="102"/>
      <c r="O23" s="102"/>
      <c r="P23" s="25" t="s">
        <v>138</v>
      </c>
      <c r="Q23" s="25" t="s">
        <v>139</v>
      </c>
      <c r="R23" s="55" t="s">
        <v>110</v>
      </c>
      <c r="S23" s="57">
        <v>129</v>
      </c>
      <c r="T23" s="57">
        <v>130</v>
      </c>
      <c r="U23" s="56">
        <f>100.78</f>
        <v>100.78</v>
      </c>
    </row>
    <row r="24" spans="1:21" ht="75" customHeight="1" x14ac:dyDescent="0.2">
      <c r="A24" s="21"/>
      <c r="B24" s="24" t="s">
        <v>44</v>
      </c>
      <c r="C24" s="101" t="s">
        <v>44</v>
      </c>
      <c r="D24" s="101"/>
      <c r="E24" s="101"/>
      <c r="F24" s="101"/>
      <c r="G24" s="101"/>
      <c r="H24" s="101"/>
      <c r="I24" s="101" t="s">
        <v>148</v>
      </c>
      <c r="J24" s="101"/>
      <c r="K24" s="101"/>
      <c r="L24" s="102" t="s">
        <v>149</v>
      </c>
      <c r="M24" s="102"/>
      <c r="N24" s="102"/>
      <c r="O24" s="102"/>
      <c r="P24" s="25" t="s">
        <v>150</v>
      </c>
      <c r="Q24" s="25" t="s">
        <v>139</v>
      </c>
      <c r="R24" s="55" t="s">
        <v>110</v>
      </c>
      <c r="S24" s="57">
        <v>7544</v>
      </c>
      <c r="T24" s="57">
        <v>14369</v>
      </c>
      <c r="U24" s="56">
        <f>190.47</f>
        <v>190.47</v>
      </c>
    </row>
    <row r="25" spans="1:21" ht="103.5" customHeight="1" x14ac:dyDescent="0.2">
      <c r="A25" s="21"/>
      <c r="B25" s="24" t="s">
        <v>44</v>
      </c>
      <c r="C25" s="101" t="s">
        <v>151</v>
      </c>
      <c r="D25" s="101"/>
      <c r="E25" s="101"/>
      <c r="F25" s="101"/>
      <c r="G25" s="101"/>
      <c r="H25" s="101"/>
      <c r="I25" s="101" t="s">
        <v>152</v>
      </c>
      <c r="J25" s="101"/>
      <c r="K25" s="101"/>
      <c r="L25" s="102" t="s">
        <v>153</v>
      </c>
      <c r="M25" s="102"/>
      <c r="N25" s="102"/>
      <c r="O25" s="102"/>
      <c r="P25" s="25" t="s">
        <v>42</v>
      </c>
      <c r="Q25" s="25" t="s">
        <v>43</v>
      </c>
      <c r="R25" s="55">
        <v>82.89</v>
      </c>
      <c r="S25" s="55">
        <v>86.49</v>
      </c>
      <c r="T25" s="55">
        <v>85.09</v>
      </c>
      <c r="U25" s="56">
        <f>98.38</f>
        <v>98.38</v>
      </c>
    </row>
    <row r="26" spans="1:21" ht="75" customHeight="1" x14ac:dyDescent="0.2">
      <c r="A26" s="21"/>
      <c r="B26" s="24" t="s">
        <v>44</v>
      </c>
      <c r="C26" s="101" t="s">
        <v>44</v>
      </c>
      <c r="D26" s="101"/>
      <c r="E26" s="101"/>
      <c r="F26" s="101"/>
      <c r="G26" s="101"/>
      <c r="H26" s="101"/>
      <c r="I26" s="101" t="s">
        <v>154</v>
      </c>
      <c r="J26" s="101"/>
      <c r="K26" s="101"/>
      <c r="L26" s="102" t="s">
        <v>155</v>
      </c>
      <c r="M26" s="102"/>
      <c r="N26" s="102"/>
      <c r="O26" s="102"/>
      <c r="P26" s="25" t="s">
        <v>138</v>
      </c>
      <c r="Q26" s="25" t="s">
        <v>156</v>
      </c>
      <c r="R26" s="55" t="s">
        <v>110</v>
      </c>
      <c r="S26" s="57">
        <v>1101</v>
      </c>
      <c r="T26" s="57">
        <v>1410</v>
      </c>
      <c r="U26" s="56">
        <f>128.1</f>
        <v>128.1</v>
      </c>
    </row>
    <row r="27" spans="1:21" ht="108" customHeight="1" x14ac:dyDescent="0.2">
      <c r="A27" s="21"/>
      <c r="B27" s="24" t="s">
        <v>44</v>
      </c>
      <c r="C27" s="101" t="s">
        <v>44</v>
      </c>
      <c r="D27" s="101"/>
      <c r="E27" s="101"/>
      <c r="F27" s="101"/>
      <c r="G27" s="101"/>
      <c r="H27" s="101"/>
      <c r="I27" s="101" t="s">
        <v>157</v>
      </c>
      <c r="J27" s="101"/>
      <c r="K27" s="101"/>
      <c r="L27" s="102" t="s">
        <v>158</v>
      </c>
      <c r="M27" s="102"/>
      <c r="N27" s="102"/>
      <c r="O27" s="102"/>
      <c r="P27" s="25" t="s">
        <v>42</v>
      </c>
      <c r="Q27" s="25" t="s">
        <v>139</v>
      </c>
      <c r="R27" s="55">
        <v>63.4</v>
      </c>
      <c r="S27" s="55">
        <v>63.4</v>
      </c>
      <c r="T27" s="55">
        <v>60.85</v>
      </c>
      <c r="U27" s="56">
        <f>95.98</f>
        <v>95.98</v>
      </c>
    </row>
    <row r="28" spans="1:21" ht="75" customHeight="1" x14ac:dyDescent="0.2">
      <c r="A28" s="21"/>
      <c r="B28" s="24" t="s">
        <v>44</v>
      </c>
      <c r="C28" s="101" t="s">
        <v>159</v>
      </c>
      <c r="D28" s="101"/>
      <c r="E28" s="101"/>
      <c r="F28" s="101"/>
      <c r="G28" s="101"/>
      <c r="H28" s="101"/>
      <c r="I28" s="101" t="s">
        <v>160</v>
      </c>
      <c r="J28" s="101"/>
      <c r="K28" s="101"/>
      <c r="L28" s="102" t="s">
        <v>161</v>
      </c>
      <c r="M28" s="102"/>
      <c r="N28" s="102"/>
      <c r="O28" s="102"/>
      <c r="P28" s="25" t="s">
        <v>138</v>
      </c>
      <c r="Q28" s="25" t="s">
        <v>43</v>
      </c>
      <c r="R28" s="55" t="s">
        <v>110</v>
      </c>
      <c r="S28" s="57">
        <v>18</v>
      </c>
      <c r="T28" s="57">
        <v>23</v>
      </c>
      <c r="U28" s="56">
        <f>127.78</f>
        <v>127.78</v>
      </c>
    </row>
    <row r="29" spans="1:21" ht="75" customHeight="1" x14ac:dyDescent="0.2">
      <c r="A29" s="21"/>
      <c r="B29" s="24" t="s">
        <v>44</v>
      </c>
      <c r="C29" s="101" t="s">
        <v>44</v>
      </c>
      <c r="D29" s="101"/>
      <c r="E29" s="101"/>
      <c r="F29" s="101"/>
      <c r="G29" s="101"/>
      <c r="H29" s="101"/>
      <c r="I29" s="101" t="s">
        <v>162</v>
      </c>
      <c r="J29" s="101"/>
      <c r="K29" s="101"/>
      <c r="L29" s="102" t="s">
        <v>163</v>
      </c>
      <c r="M29" s="102"/>
      <c r="N29" s="102"/>
      <c r="O29" s="102"/>
      <c r="P29" s="25" t="s">
        <v>138</v>
      </c>
      <c r="Q29" s="25" t="s">
        <v>43</v>
      </c>
      <c r="R29" s="55" t="s">
        <v>110</v>
      </c>
      <c r="S29" s="57">
        <v>14</v>
      </c>
      <c r="T29" s="57">
        <v>36</v>
      </c>
      <c r="U29" s="56">
        <f>257.14</f>
        <v>257.14</v>
      </c>
    </row>
    <row r="30" spans="1:21" ht="145.5" customHeight="1" thickBot="1" x14ac:dyDescent="0.25">
      <c r="A30" s="21"/>
      <c r="B30" s="24" t="s">
        <v>44</v>
      </c>
      <c r="C30" s="101" t="s">
        <v>164</v>
      </c>
      <c r="D30" s="101"/>
      <c r="E30" s="101"/>
      <c r="F30" s="101"/>
      <c r="G30" s="101"/>
      <c r="H30" s="101"/>
      <c r="I30" s="101" t="s">
        <v>165</v>
      </c>
      <c r="J30" s="101"/>
      <c r="K30" s="101"/>
      <c r="L30" s="102" t="s">
        <v>166</v>
      </c>
      <c r="M30" s="102"/>
      <c r="N30" s="102"/>
      <c r="O30" s="102"/>
      <c r="P30" s="25" t="s">
        <v>167</v>
      </c>
      <c r="Q30" s="25" t="s">
        <v>43</v>
      </c>
      <c r="R30" s="55">
        <v>4.5999999999999996</v>
      </c>
      <c r="S30" s="55">
        <v>3.45</v>
      </c>
      <c r="T30" s="55">
        <v>4.45</v>
      </c>
      <c r="U30" s="56">
        <f>128.98</f>
        <v>128.97999999999999</v>
      </c>
    </row>
    <row r="31" spans="1:21" ht="114.75" customHeight="1" thickTop="1" x14ac:dyDescent="0.2">
      <c r="A31" s="21"/>
      <c r="B31" s="22" t="s">
        <v>62</v>
      </c>
      <c r="C31" s="99" t="s">
        <v>168</v>
      </c>
      <c r="D31" s="99"/>
      <c r="E31" s="99"/>
      <c r="F31" s="99"/>
      <c r="G31" s="99"/>
      <c r="H31" s="99"/>
      <c r="I31" s="99" t="s">
        <v>169</v>
      </c>
      <c r="J31" s="99"/>
      <c r="K31" s="99"/>
      <c r="L31" s="100" t="s">
        <v>170</v>
      </c>
      <c r="M31" s="100"/>
      <c r="N31" s="100"/>
      <c r="O31" s="100"/>
      <c r="P31" s="23" t="s">
        <v>42</v>
      </c>
      <c r="Q31" s="23" t="s">
        <v>75</v>
      </c>
      <c r="R31" s="53">
        <v>84.82</v>
      </c>
      <c r="S31" s="53">
        <v>35.119999999999997</v>
      </c>
      <c r="T31" s="53">
        <v>83.14</v>
      </c>
      <c r="U31" s="54">
        <f>236.73</f>
        <v>236.73</v>
      </c>
    </row>
    <row r="32" spans="1:21" ht="105.75" customHeight="1" x14ac:dyDescent="0.2">
      <c r="A32" s="21"/>
      <c r="B32" s="24" t="s">
        <v>44</v>
      </c>
      <c r="C32" s="101" t="s">
        <v>171</v>
      </c>
      <c r="D32" s="101"/>
      <c r="E32" s="101"/>
      <c r="F32" s="101"/>
      <c r="G32" s="101"/>
      <c r="H32" s="101"/>
      <c r="I32" s="101" t="s">
        <v>172</v>
      </c>
      <c r="J32" s="101"/>
      <c r="K32" s="101"/>
      <c r="L32" s="102" t="s">
        <v>173</v>
      </c>
      <c r="M32" s="102"/>
      <c r="N32" s="102"/>
      <c r="O32" s="102"/>
      <c r="P32" s="25" t="s">
        <v>42</v>
      </c>
      <c r="Q32" s="25" t="s">
        <v>75</v>
      </c>
      <c r="R32" s="55">
        <v>94.48</v>
      </c>
      <c r="S32" s="55">
        <v>95.66</v>
      </c>
      <c r="T32" s="55">
        <v>93.17</v>
      </c>
      <c r="U32" s="56">
        <f>97.39</f>
        <v>97.39</v>
      </c>
    </row>
    <row r="33" spans="1:22" ht="106.5" customHeight="1" x14ac:dyDescent="0.2">
      <c r="A33" s="21"/>
      <c r="B33" s="24" t="s">
        <v>44</v>
      </c>
      <c r="C33" s="101" t="s">
        <v>44</v>
      </c>
      <c r="D33" s="101"/>
      <c r="E33" s="101"/>
      <c r="F33" s="101"/>
      <c r="G33" s="101"/>
      <c r="H33" s="101"/>
      <c r="I33" s="101" t="s">
        <v>174</v>
      </c>
      <c r="J33" s="101"/>
      <c r="K33" s="101"/>
      <c r="L33" s="102" t="s">
        <v>175</v>
      </c>
      <c r="M33" s="102"/>
      <c r="N33" s="102"/>
      <c r="O33" s="102"/>
      <c r="P33" s="25" t="s">
        <v>42</v>
      </c>
      <c r="Q33" s="25" t="s">
        <v>176</v>
      </c>
      <c r="R33" s="55" t="s">
        <v>110</v>
      </c>
      <c r="S33" s="55">
        <v>100</v>
      </c>
      <c r="T33" s="55">
        <v>97.75</v>
      </c>
      <c r="U33" s="56">
        <f>97.75</f>
        <v>97.75</v>
      </c>
    </row>
    <row r="34" spans="1:22" ht="75" customHeight="1" x14ac:dyDescent="0.2">
      <c r="A34" s="21"/>
      <c r="B34" s="24" t="s">
        <v>44</v>
      </c>
      <c r="C34" s="101" t="s">
        <v>44</v>
      </c>
      <c r="D34" s="101"/>
      <c r="E34" s="101"/>
      <c r="F34" s="101"/>
      <c r="G34" s="101"/>
      <c r="H34" s="101"/>
      <c r="I34" s="101" t="s">
        <v>177</v>
      </c>
      <c r="J34" s="101"/>
      <c r="K34" s="101"/>
      <c r="L34" s="102" t="s">
        <v>178</v>
      </c>
      <c r="M34" s="102"/>
      <c r="N34" s="102"/>
      <c r="O34" s="102"/>
      <c r="P34" s="25" t="s">
        <v>179</v>
      </c>
      <c r="Q34" s="25" t="s">
        <v>176</v>
      </c>
      <c r="R34" s="55" t="s">
        <v>110</v>
      </c>
      <c r="S34" s="57">
        <v>41</v>
      </c>
      <c r="T34" s="57">
        <v>41</v>
      </c>
      <c r="U34" s="56">
        <f>100</f>
        <v>100</v>
      </c>
    </row>
    <row r="35" spans="1:22" ht="75" customHeight="1" x14ac:dyDescent="0.2">
      <c r="A35" s="21"/>
      <c r="B35" s="24" t="s">
        <v>44</v>
      </c>
      <c r="C35" s="101" t="s">
        <v>180</v>
      </c>
      <c r="D35" s="101"/>
      <c r="E35" s="101"/>
      <c r="F35" s="101"/>
      <c r="G35" s="101"/>
      <c r="H35" s="101"/>
      <c r="I35" s="101" t="s">
        <v>181</v>
      </c>
      <c r="J35" s="101"/>
      <c r="K35" s="101"/>
      <c r="L35" s="102" t="s">
        <v>182</v>
      </c>
      <c r="M35" s="102"/>
      <c r="N35" s="102"/>
      <c r="O35" s="102"/>
      <c r="P35" s="25" t="s">
        <v>42</v>
      </c>
      <c r="Q35" s="25" t="s">
        <v>58</v>
      </c>
      <c r="R35" s="55">
        <v>7.92</v>
      </c>
      <c r="S35" s="55">
        <v>8.0399999999999991</v>
      </c>
      <c r="T35" s="55">
        <v>6.53</v>
      </c>
      <c r="U35" s="56">
        <f>81.22</f>
        <v>81.22</v>
      </c>
    </row>
    <row r="36" spans="1:22" ht="96.75" customHeight="1" thickBot="1" x14ac:dyDescent="0.25">
      <c r="A36" s="21"/>
      <c r="B36" s="24" t="s">
        <v>44</v>
      </c>
      <c r="C36" s="101" t="s">
        <v>183</v>
      </c>
      <c r="D36" s="101"/>
      <c r="E36" s="101"/>
      <c r="F36" s="101"/>
      <c r="G36" s="101"/>
      <c r="H36" s="101"/>
      <c r="I36" s="101" t="s">
        <v>184</v>
      </c>
      <c r="J36" s="101"/>
      <c r="K36" s="101"/>
      <c r="L36" s="102" t="s">
        <v>185</v>
      </c>
      <c r="M36" s="102"/>
      <c r="N36" s="102"/>
      <c r="O36" s="102"/>
      <c r="P36" s="25" t="s">
        <v>186</v>
      </c>
      <c r="Q36" s="25" t="s">
        <v>187</v>
      </c>
      <c r="R36" s="55" t="s">
        <v>110</v>
      </c>
      <c r="S36" s="25">
        <v>91655363</v>
      </c>
      <c r="T36" s="25">
        <v>96975118</v>
      </c>
      <c r="U36" s="56">
        <f>105.8</f>
        <v>105.8</v>
      </c>
    </row>
    <row r="37" spans="1:22" ht="14.25" customHeight="1" thickTop="1" thickBot="1" x14ac:dyDescent="0.25">
      <c r="B37" s="4" t="s">
        <v>79</v>
      </c>
      <c r="C37" s="5"/>
      <c r="D37" s="5"/>
      <c r="E37" s="5"/>
      <c r="F37" s="5"/>
      <c r="G37" s="5"/>
      <c r="H37" s="6"/>
      <c r="I37" s="6"/>
      <c r="J37" s="6"/>
      <c r="K37" s="6"/>
      <c r="L37" s="6"/>
      <c r="M37" s="6"/>
      <c r="N37" s="6"/>
      <c r="O37" s="6"/>
      <c r="P37" s="6"/>
      <c r="Q37" s="6"/>
      <c r="R37" s="6"/>
      <c r="S37" s="6"/>
      <c r="T37" s="6"/>
      <c r="U37" s="7"/>
      <c r="V37" s="26"/>
    </row>
    <row r="38" spans="1:22" ht="26.25" customHeight="1" thickTop="1" x14ac:dyDescent="0.2">
      <c r="B38" s="27"/>
      <c r="C38" s="28"/>
      <c r="D38" s="28"/>
      <c r="E38" s="28"/>
      <c r="F38" s="28"/>
      <c r="G38" s="28"/>
      <c r="H38" s="29"/>
      <c r="I38" s="29"/>
      <c r="J38" s="29"/>
      <c r="K38" s="29"/>
      <c r="L38" s="29"/>
      <c r="M38" s="29"/>
      <c r="N38" s="29"/>
      <c r="O38" s="29"/>
      <c r="P38" s="29"/>
      <c r="Q38" s="29"/>
      <c r="R38" s="30"/>
      <c r="S38" s="31" t="s">
        <v>33</v>
      </c>
      <c r="T38" s="31" t="s">
        <v>80</v>
      </c>
      <c r="U38" s="18" t="s">
        <v>81</v>
      </c>
    </row>
    <row r="39" spans="1:22" ht="38.25" customHeight="1" thickBot="1" x14ac:dyDescent="0.25">
      <c r="B39" s="32"/>
      <c r="C39" s="33"/>
      <c r="D39" s="33"/>
      <c r="E39" s="33"/>
      <c r="F39" s="33"/>
      <c r="G39" s="33"/>
      <c r="H39" s="34"/>
      <c r="I39" s="34"/>
      <c r="J39" s="34"/>
      <c r="K39" s="34"/>
      <c r="L39" s="34"/>
      <c r="M39" s="34"/>
      <c r="N39" s="34"/>
      <c r="O39" s="34"/>
      <c r="P39" s="34"/>
      <c r="Q39" s="34"/>
      <c r="R39" s="34"/>
      <c r="S39" s="35" t="s">
        <v>82</v>
      </c>
      <c r="T39" s="36" t="s">
        <v>82</v>
      </c>
      <c r="U39" s="36" t="s">
        <v>83</v>
      </c>
    </row>
    <row r="40" spans="1:22" ht="20.25" customHeight="1" thickBot="1" x14ac:dyDescent="0.25">
      <c r="B40" s="106" t="s">
        <v>84</v>
      </c>
      <c r="C40" s="107"/>
      <c r="D40" s="107"/>
      <c r="E40" s="37"/>
      <c r="F40" s="37"/>
      <c r="G40" s="37"/>
      <c r="H40" s="38"/>
      <c r="I40" s="38"/>
      <c r="J40" s="38"/>
      <c r="K40" s="38"/>
      <c r="L40" s="38"/>
      <c r="M40" s="38"/>
      <c r="N40" s="38"/>
      <c r="O40" s="38"/>
      <c r="P40" s="39"/>
      <c r="Q40" s="39"/>
      <c r="R40" s="39"/>
      <c r="S40" s="63">
        <v>3643.24</v>
      </c>
      <c r="T40" s="63">
        <v>3551.06</v>
      </c>
      <c r="U40" s="64">
        <f>+IF(ISERR(T40/S40*100),"N/A",ROUND(T40/S40*100,1))</f>
        <v>97.5</v>
      </c>
    </row>
    <row r="41" spans="1:22" ht="20.25" customHeight="1" thickBot="1" x14ac:dyDescent="0.25">
      <c r="B41" s="108" t="s">
        <v>85</v>
      </c>
      <c r="C41" s="109"/>
      <c r="D41" s="109"/>
      <c r="E41" s="40"/>
      <c r="F41" s="40"/>
      <c r="G41" s="40"/>
      <c r="H41" s="41"/>
      <c r="I41" s="41"/>
      <c r="J41" s="41"/>
      <c r="K41" s="41"/>
      <c r="L41" s="41"/>
      <c r="M41" s="41"/>
      <c r="N41" s="41"/>
      <c r="O41" s="41"/>
      <c r="P41" s="42"/>
      <c r="Q41" s="42"/>
      <c r="R41" s="42"/>
      <c r="S41" s="65">
        <v>3551.06</v>
      </c>
      <c r="T41" s="65">
        <v>3551.06</v>
      </c>
      <c r="U41" s="64">
        <f>+IF(ISERR(T41/S41*100),"N/A",ROUND(T41/S41*100,1))</f>
        <v>100</v>
      </c>
    </row>
    <row r="42" spans="1:22" ht="14.85" customHeight="1" thickTop="1" thickBot="1" x14ac:dyDescent="0.25">
      <c r="B42" s="4" t="s">
        <v>86</v>
      </c>
      <c r="C42" s="5"/>
      <c r="D42" s="5"/>
      <c r="E42" s="5"/>
      <c r="F42" s="5"/>
      <c r="G42" s="5"/>
      <c r="H42" s="6"/>
      <c r="I42" s="6"/>
      <c r="J42" s="6"/>
      <c r="K42" s="6"/>
      <c r="L42" s="6"/>
      <c r="M42" s="6"/>
      <c r="N42" s="6"/>
      <c r="O42" s="6"/>
      <c r="P42" s="6"/>
      <c r="Q42" s="6"/>
      <c r="R42" s="6"/>
      <c r="S42" s="6"/>
      <c r="T42" s="6"/>
      <c r="U42" s="7"/>
    </row>
    <row r="43" spans="1:22" ht="44.25" customHeight="1" thickTop="1" x14ac:dyDescent="0.2">
      <c r="B43" s="110" t="s">
        <v>87</v>
      </c>
      <c r="C43" s="111"/>
      <c r="D43" s="111"/>
      <c r="E43" s="111"/>
      <c r="F43" s="111"/>
      <c r="G43" s="111"/>
      <c r="H43" s="111"/>
      <c r="I43" s="111"/>
      <c r="J43" s="111"/>
      <c r="K43" s="111"/>
      <c r="L43" s="111"/>
      <c r="M43" s="111"/>
      <c r="N43" s="111"/>
      <c r="O43" s="111"/>
      <c r="P43" s="111"/>
      <c r="Q43" s="111"/>
      <c r="R43" s="111"/>
      <c r="S43" s="111"/>
      <c r="T43" s="111"/>
      <c r="U43" s="112"/>
    </row>
    <row r="44" spans="1:22" ht="205.5" customHeight="1" x14ac:dyDescent="0.2">
      <c r="B44" s="103" t="s">
        <v>188</v>
      </c>
      <c r="C44" s="104"/>
      <c r="D44" s="104"/>
      <c r="E44" s="104"/>
      <c r="F44" s="104"/>
      <c r="G44" s="104"/>
      <c r="H44" s="104"/>
      <c r="I44" s="104"/>
      <c r="J44" s="104"/>
      <c r="K44" s="104"/>
      <c r="L44" s="104"/>
      <c r="M44" s="104"/>
      <c r="N44" s="104"/>
      <c r="O44" s="104"/>
      <c r="P44" s="104"/>
      <c r="Q44" s="104"/>
      <c r="R44" s="104"/>
      <c r="S44" s="104"/>
      <c r="T44" s="104"/>
      <c r="U44" s="105"/>
    </row>
    <row r="45" spans="1:22" ht="219.75" customHeight="1" x14ac:dyDescent="0.2">
      <c r="B45" s="103" t="s">
        <v>189</v>
      </c>
      <c r="C45" s="104"/>
      <c r="D45" s="104"/>
      <c r="E45" s="104"/>
      <c r="F45" s="104"/>
      <c r="G45" s="104"/>
      <c r="H45" s="104"/>
      <c r="I45" s="104"/>
      <c r="J45" s="104"/>
      <c r="K45" s="104"/>
      <c r="L45" s="104"/>
      <c r="M45" s="104"/>
      <c r="N45" s="104"/>
      <c r="O45" s="104"/>
      <c r="P45" s="104"/>
      <c r="Q45" s="104"/>
      <c r="R45" s="104"/>
      <c r="S45" s="104"/>
      <c r="T45" s="104"/>
      <c r="U45" s="105"/>
    </row>
    <row r="46" spans="1:22" ht="140.44999999999999" customHeight="1" x14ac:dyDescent="0.2">
      <c r="B46" s="103" t="s">
        <v>190</v>
      </c>
      <c r="C46" s="104"/>
      <c r="D46" s="104"/>
      <c r="E46" s="104"/>
      <c r="F46" s="104"/>
      <c r="G46" s="104"/>
      <c r="H46" s="104"/>
      <c r="I46" s="104"/>
      <c r="J46" s="104"/>
      <c r="K46" s="104"/>
      <c r="L46" s="104"/>
      <c r="M46" s="104"/>
      <c r="N46" s="104"/>
      <c r="O46" s="104"/>
      <c r="P46" s="104"/>
      <c r="Q46" s="104"/>
      <c r="R46" s="104"/>
      <c r="S46" s="104"/>
      <c r="T46" s="104"/>
      <c r="U46" s="105"/>
    </row>
    <row r="47" spans="1:22" ht="176.25" customHeight="1" x14ac:dyDescent="0.2">
      <c r="B47" s="103" t="s">
        <v>191</v>
      </c>
      <c r="C47" s="104"/>
      <c r="D47" s="104"/>
      <c r="E47" s="104"/>
      <c r="F47" s="104"/>
      <c r="G47" s="104"/>
      <c r="H47" s="104"/>
      <c r="I47" s="104"/>
      <c r="J47" s="104"/>
      <c r="K47" s="104"/>
      <c r="L47" s="104"/>
      <c r="M47" s="104"/>
      <c r="N47" s="104"/>
      <c r="O47" s="104"/>
      <c r="P47" s="104"/>
      <c r="Q47" s="104"/>
      <c r="R47" s="104"/>
      <c r="S47" s="104"/>
      <c r="T47" s="104"/>
      <c r="U47" s="105"/>
    </row>
    <row r="48" spans="1:22" ht="222" customHeight="1" x14ac:dyDescent="0.2">
      <c r="B48" s="103" t="s">
        <v>192</v>
      </c>
      <c r="C48" s="104"/>
      <c r="D48" s="104"/>
      <c r="E48" s="104"/>
      <c r="F48" s="104"/>
      <c r="G48" s="104"/>
      <c r="H48" s="104"/>
      <c r="I48" s="104"/>
      <c r="J48" s="104"/>
      <c r="K48" s="104"/>
      <c r="L48" s="104"/>
      <c r="M48" s="104"/>
      <c r="N48" s="104"/>
      <c r="O48" s="104"/>
      <c r="P48" s="104"/>
      <c r="Q48" s="104"/>
      <c r="R48" s="104"/>
      <c r="S48" s="104"/>
      <c r="T48" s="104"/>
      <c r="U48" s="105"/>
    </row>
    <row r="49" spans="2:21" ht="121.7" customHeight="1" x14ac:dyDescent="0.2">
      <c r="B49" s="103" t="s">
        <v>193</v>
      </c>
      <c r="C49" s="104"/>
      <c r="D49" s="104"/>
      <c r="E49" s="104"/>
      <c r="F49" s="104"/>
      <c r="G49" s="104"/>
      <c r="H49" s="104"/>
      <c r="I49" s="104"/>
      <c r="J49" s="104"/>
      <c r="K49" s="104"/>
      <c r="L49" s="104"/>
      <c r="M49" s="104"/>
      <c r="N49" s="104"/>
      <c r="O49" s="104"/>
      <c r="P49" s="104"/>
      <c r="Q49" s="104"/>
      <c r="R49" s="104"/>
      <c r="S49" s="104"/>
      <c r="T49" s="104"/>
      <c r="U49" s="105"/>
    </row>
    <row r="50" spans="2:21" ht="188.85" customHeight="1" x14ac:dyDescent="0.2">
      <c r="B50" s="103" t="s">
        <v>194</v>
      </c>
      <c r="C50" s="104"/>
      <c r="D50" s="104"/>
      <c r="E50" s="104"/>
      <c r="F50" s="104"/>
      <c r="G50" s="104"/>
      <c r="H50" s="104"/>
      <c r="I50" s="104"/>
      <c r="J50" s="104"/>
      <c r="K50" s="104"/>
      <c r="L50" s="104"/>
      <c r="M50" s="104"/>
      <c r="N50" s="104"/>
      <c r="O50" s="104"/>
      <c r="P50" s="104"/>
      <c r="Q50" s="104"/>
      <c r="R50" s="104"/>
      <c r="S50" s="104"/>
      <c r="T50" s="104"/>
      <c r="U50" s="105"/>
    </row>
    <row r="51" spans="2:21" ht="158.85" customHeight="1" x14ac:dyDescent="0.2">
      <c r="B51" s="103" t="s">
        <v>195</v>
      </c>
      <c r="C51" s="104"/>
      <c r="D51" s="104"/>
      <c r="E51" s="104"/>
      <c r="F51" s="104"/>
      <c r="G51" s="104"/>
      <c r="H51" s="104"/>
      <c r="I51" s="104"/>
      <c r="J51" s="104"/>
      <c r="K51" s="104"/>
      <c r="L51" s="104"/>
      <c r="M51" s="104"/>
      <c r="N51" s="104"/>
      <c r="O51" s="104"/>
      <c r="P51" s="104"/>
      <c r="Q51" s="104"/>
      <c r="R51" s="104"/>
      <c r="S51" s="104"/>
      <c r="T51" s="104"/>
      <c r="U51" s="105"/>
    </row>
    <row r="52" spans="2:21" ht="175.7" customHeight="1" x14ac:dyDescent="0.2">
      <c r="B52" s="103" t="s">
        <v>196</v>
      </c>
      <c r="C52" s="104"/>
      <c r="D52" s="104"/>
      <c r="E52" s="104"/>
      <c r="F52" s="104"/>
      <c r="G52" s="104"/>
      <c r="H52" s="104"/>
      <c r="I52" s="104"/>
      <c r="J52" s="104"/>
      <c r="K52" s="104"/>
      <c r="L52" s="104"/>
      <c r="M52" s="104"/>
      <c r="N52" s="104"/>
      <c r="O52" s="104"/>
      <c r="P52" s="104"/>
      <c r="Q52" s="104"/>
      <c r="R52" s="104"/>
      <c r="S52" s="104"/>
      <c r="T52" s="104"/>
      <c r="U52" s="105"/>
    </row>
    <row r="53" spans="2:21" ht="135.94999999999999" customHeight="1" x14ac:dyDescent="0.2">
      <c r="B53" s="103" t="s">
        <v>197</v>
      </c>
      <c r="C53" s="104"/>
      <c r="D53" s="104"/>
      <c r="E53" s="104"/>
      <c r="F53" s="104"/>
      <c r="G53" s="104"/>
      <c r="H53" s="104"/>
      <c r="I53" s="104"/>
      <c r="J53" s="104"/>
      <c r="K53" s="104"/>
      <c r="L53" s="104"/>
      <c r="M53" s="104"/>
      <c r="N53" s="104"/>
      <c r="O53" s="104"/>
      <c r="P53" s="104"/>
      <c r="Q53" s="104"/>
      <c r="R53" s="104"/>
      <c r="S53" s="104"/>
      <c r="T53" s="104"/>
      <c r="U53" s="105"/>
    </row>
    <row r="54" spans="2:21" ht="193.35" customHeight="1" x14ac:dyDescent="0.2">
      <c r="B54" s="103" t="s">
        <v>198</v>
      </c>
      <c r="C54" s="104"/>
      <c r="D54" s="104"/>
      <c r="E54" s="104"/>
      <c r="F54" s="104"/>
      <c r="G54" s="104"/>
      <c r="H54" s="104"/>
      <c r="I54" s="104"/>
      <c r="J54" s="104"/>
      <c r="K54" s="104"/>
      <c r="L54" s="104"/>
      <c r="M54" s="104"/>
      <c r="N54" s="104"/>
      <c r="O54" s="104"/>
      <c r="P54" s="104"/>
      <c r="Q54" s="104"/>
      <c r="R54" s="104"/>
      <c r="S54" s="104"/>
      <c r="T54" s="104"/>
      <c r="U54" s="105"/>
    </row>
    <row r="55" spans="2:21" ht="138" customHeight="1" x14ac:dyDescent="0.2">
      <c r="B55" s="103" t="s">
        <v>199</v>
      </c>
      <c r="C55" s="104"/>
      <c r="D55" s="104"/>
      <c r="E55" s="104"/>
      <c r="F55" s="104"/>
      <c r="G55" s="104"/>
      <c r="H55" s="104"/>
      <c r="I55" s="104"/>
      <c r="J55" s="104"/>
      <c r="K55" s="104"/>
      <c r="L55" s="104"/>
      <c r="M55" s="104"/>
      <c r="N55" s="104"/>
      <c r="O55" s="104"/>
      <c r="P55" s="104"/>
      <c r="Q55" s="104"/>
      <c r="R55" s="104"/>
      <c r="S55" s="104"/>
      <c r="T55" s="104"/>
      <c r="U55" s="105"/>
    </row>
    <row r="56" spans="2:21" ht="184.5" customHeight="1" x14ac:dyDescent="0.2">
      <c r="B56" s="103" t="s">
        <v>200</v>
      </c>
      <c r="C56" s="104"/>
      <c r="D56" s="104"/>
      <c r="E56" s="104"/>
      <c r="F56" s="104"/>
      <c r="G56" s="104"/>
      <c r="H56" s="104"/>
      <c r="I56" s="104"/>
      <c r="J56" s="104"/>
      <c r="K56" s="104"/>
      <c r="L56" s="104"/>
      <c r="M56" s="104"/>
      <c r="N56" s="104"/>
      <c r="O56" s="104"/>
      <c r="P56" s="104"/>
      <c r="Q56" s="104"/>
      <c r="R56" s="104"/>
      <c r="S56" s="104"/>
      <c r="T56" s="104"/>
      <c r="U56" s="105"/>
    </row>
    <row r="57" spans="2:21" ht="156" customHeight="1" x14ac:dyDescent="0.2">
      <c r="B57" s="103" t="s">
        <v>201</v>
      </c>
      <c r="C57" s="104"/>
      <c r="D57" s="104"/>
      <c r="E57" s="104"/>
      <c r="F57" s="104"/>
      <c r="G57" s="104"/>
      <c r="H57" s="104"/>
      <c r="I57" s="104"/>
      <c r="J57" s="104"/>
      <c r="K57" s="104"/>
      <c r="L57" s="104"/>
      <c r="M57" s="104"/>
      <c r="N57" s="104"/>
      <c r="O57" s="104"/>
      <c r="P57" s="104"/>
      <c r="Q57" s="104"/>
      <c r="R57" s="104"/>
      <c r="S57" s="104"/>
      <c r="T57" s="104"/>
      <c r="U57" s="105"/>
    </row>
    <row r="58" spans="2:21" ht="170.45" customHeight="1" x14ac:dyDescent="0.2">
      <c r="B58" s="103" t="s">
        <v>202</v>
      </c>
      <c r="C58" s="104"/>
      <c r="D58" s="104"/>
      <c r="E58" s="104"/>
      <c r="F58" s="104"/>
      <c r="G58" s="104"/>
      <c r="H58" s="104"/>
      <c r="I58" s="104"/>
      <c r="J58" s="104"/>
      <c r="K58" s="104"/>
      <c r="L58" s="104"/>
      <c r="M58" s="104"/>
      <c r="N58" s="104"/>
      <c r="O58" s="104"/>
      <c r="P58" s="104"/>
      <c r="Q58" s="104"/>
      <c r="R58" s="104"/>
      <c r="S58" s="104"/>
      <c r="T58" s="104"/>
      <c r="U58" s="105"/>
    </row>
    <row r="59" spans="2:21" ht="186" customHeight="1" x14ac:dyDescent="0.2">
      <c r="B59" s="103" t="s">
        <v>203</v>
      </c>
      <c r="C59" s="104"/>
      <c r="D59" s="104"/>
      <c r="E59" s="104"/>
      <c r="F59" s="104"/>
      <c r="G59" s="104"/>
      <c r="H59" s="104"/>
      <c r="I59" s="104"/>
      <c r="J59" s="104"/>
      <c r="K59" s="104"/>
      <c r="L59" s="104"/>
      <c r="M59" s="104"/>
      <c r="N59" s="104"/>
      <c r="O59" s="104"/>
      <c r="P59" s="104"/>
      <c r="Q59" s="104"/>
      <c r="R59" s="104"/>
      <c r="S59" s="104"/>
      <c r="T59" s="104"/>
      <c r="U59" s="105"/>
    </row>
    <row r="60" spans="2:21" ht="259.5" customHeight="1" x14ac:dyDescent="0.2">
      <c r="B60" s="121" t="s">
        <v>204</v>
      </c>
      <c r="C60" s="122"/>
      <c r="D60" s="122"/>
      <c r="E60" s="122"/>
      <c r="F60" s="122"/>
      <c r="G60" s="122"/>
      <c r="H60" s="122"/>
      <c r="I60" s="122"/>
      <c r="J60" s="122"/>
      <c r="K60" s="122"/>
      <c r="L60" s="122"/>
      <c r="M60" s="122"/>
      <c r="N60" s="122"/>
      <c r="O60" s="122"/>
      <c r="P60" s="122"/>
      <c r="Q60" s="122"/>
      <c r="R60" s="122"/>
      <c r="S60" s="122"/>
      <c r="T60" s="122"/>
      <c r="U60" s="123"/>
    </row>
    <row r="61" spans="2:21" ht="189.95" customHeight="1" x14ac:dyDescent="0.2">
      <c r="B61" s="103" t="s">
        <v>205</v>
      </c>
      <c r="C61" s="104"/>
      <c r="D61" s="104"/>
      <c r="E61" s="104"/>
      <c r="F61" s="104"/>
      <c r="G61" s="104"/>
      <c r="H61" s="104"/>
      <c r="I61" s="104"/>
      <c r="J61" s="104"/>
      <c r="K61" s="104"/>
      <c r="L61" s="104"/>
      <c r="M61" s="104"/>
      <c r="N61" s="104"/>
      <c r="O61" s="104"/>
      <c r="P61" s="104"/>
      <c r="Q61" s="104"/>
      <c r="R61" s="104"/>
      <c r="S61" s="104"/>
      <c r="T61" s="104"/>
      <c r="U61" s="105"/>
    </row>
    <row r="62" spans="2:21" ht="186.75" customHeight="1" x14ac:dyDescent="0.2">
      <c r="B62" s="103" t="s">
        <v>206</v>
      </c>
      <c r="C62" s="104"/>
      <c r="D62" s="104"/>
      <c r="E62" s="104"/>
      <c r="F62" s="104"/>
      <c r="G62" s="104"/>
      <c r="H62" s="104"/>
      <c r="I62" s="104"/>
      <c r="J62" s="104"/>
      <c r="K62" s="104"/>
      <c r="L62" s="104"/>
      <c r="M62" s="104"/>
      <c r="N62" s="104"/>
      <c r="O62" s="104"/>
      <c r="P62" s="104"/>
      <c r="Q62" s="104"/>
      <c r="R62" s="104"/>
      <c r="S62" s="104"/>
      <c r="T62" s="104"/>
      <c r="U62" s="105"/>
    </row>
    <row r="63" spans="2:21" ht="120.75" customHeight="1" x14ac:dyDescent="0.2">
      <c r="B63" s="103" t="s">
        <v>207</v>
      </c>
      <c r="C63" s="104"/>
      <c r="D63" s="104"/>
      <c r="E63" s="104"/>
      <c r="F63" s="104"/>
      <c r="G63" s="104"/>
      <c r="H63" s="104"/>
      <c r="I63" s="104"/>
      <c r="J63" s="104"/>
      <c r="K63" s="104"/>
      <c r="L63" s="104"/>
      <c r="M63" s="104"/>
      <c r="N63" s="104"/>
      <c r="O63" s="104"/>
      <c r="P63" s="104"/>
      <c r="Q63" s="104"/>
      <c r="R63" s="104"/>
      <c r="S63" s="104"/>
      <c r="T63" s="104"/>
      <c r="U63" s="105"/>
    </row>
    <row r="64" spans="2:21" ht="153.94999999999999" customHeight="1" x14ac:dyDescent="0.2">
      <c r="B64" s="103" t="s">
        <v>208</v>
      </c>
      <c r="C64" s="104"/>
      <c r="D64" s="104"/>
      <c r="E64" s="104"/>
      <c r="F64" s="104"/>
      <c r="G64" s="104"/>
      <c r="H64" s="104"/>
      <c r="I64" s="104"/>
      <c r="J64" s="104"/>
      <c r="K64" s="104"/>
      <c r="L64" s="104"/>
      <c r="M64" s="104"/>
      <c r="N64" s="104"/>
      <c r="O64" s="104"/>
      <c r="P64" s="104"/>
      <c r="Q64" s="104"/>
      <c r="R64" s="104"/>
      <c r="S64" s="104"/>
      <c r="T64" s="104"/>
      <c r="U64" s="105"/>
    </row>
    <row r="65" spans="2:21" ht="234.75" customHeight="1" thickBot="1" x14ac:dyDescent="0.25">
      <c r="B65" s="113" t="s">
        <v>209</v>
      </c>
      <c r="C65" s="114"/>
      <c r="D65" s="114"/>
      <c r="E65" s="114"/>
      <c r="F65" s="114"/>
      <c r="G65" s="114"/>
      <c r="H65" s="114"/>
      <c r="I65" s="114"/>
      <c r="J65" s="114"/>
      <c r="K65" s="114"/>
      <c r="L65" s="114"/>
      <c r="M65" s="114"/>
      <c r="N65" s="114"/>
      <c r="O65" s="114"/>
      <c r="P65" s="114"/>
      <c r="Q65" s="114"/>
      <c r="R65" s="114"/>
      <c r="S65" s="114"/>
      <c r="T65" s="114"/>
      <c r="U65" s="115"/>
    </row>
  </sheetData>
  <mergeCells count="124">
    <mergeCell ref="B65:U65"/>
    <mergeCell ref="B58:U58"/>
    <mergeCell ref="B59:U59"/>
    <mergeCell ref="B60:U60"/>
    <mergeCell ref="B61:U61"/>
    <mergeCell ref="B62:U62"/>
    <mergeCell ref="B63:U63"/>
    <mergeCell ref="B52:U52"/>
    <mergeCell ref="B53:U53"/>
    <mergeCell ref="B54:U54"/>
    <mergeCell ref="B55:U55"/>
    <mergeCell ref="B56:U56"/>
    <mergeCell ref="B57:U57"/>
    <mergeCell ref="B46:U46"/>
    <mergeCell ref="B47:U47"/>
    <mergeCell ref="B48:U48"/>
    <mergeCell ref="B49:U49"/>
    <mergeCell ref="B50:U50"/>
    <mergeCell ref="B51:U51"/>
    <mergeCell ref="B44:U44"/>
    <mergeCell ref="B45:U45"/>
    <mergeCell ref="B64:U64"/>
    <mergeCell ref="C36:H36"/>
    <mergeCell ref="I36:K36"/>
    <mergeCell ref="L36:O36"/>
    <mergeCell ref="B40:D40"/>
    <mergeCell ref="B41:D41"/>
    <mergeCell ref="B43:U43"/>
    <mergeCell ref="C34:H34"/>
    <mergeCell ref="I34:K34"/>
    <mergeCell ref="L34:O34"/>
    <mergeCell ref="C35:H35"/>
    <mergeCell ref="I35:K35"/>
    <mergeCell ref="L35:O35"/>
    <mergeCell ref="C32:H32"/>
    <mergeCell ref="I32:K32"/>
    <mergeCell ref="L32:O32"/>
    <mergeCell ref="C33:H33"/>
    <mergeCell ref="I33:K33"/>
    <mergeCell ref="L33:O33"/>
    <mergeCell ref="C30:H30"/>
    <mergeCell ref="I30:K30"/>
    <mergeCell ref="L30:O30"/>
    <mergeCell ref="C31:H31"/>
    <mergeCell ref="I31:K31"/>
    <mergeCell ref="L31:O31"/>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7:H17"/>
    <mergeCell ref="I17:K17"/>
    <mergeCell ref="L17:O17"/>
    <mergeCell ref="C14:H14"/>
    <mergeCell ref="I14:K14"/>
    <mergeCell ref="L14:O14"/>
    <mergeCell ref="C15:H15"/>
    <mergeCell ref="I15:K15"/>
    <mergeCell ref="L15:O15"/>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s>
  <printOptions horizontalCentered="1"/>
  <pageMargins left="0.78740157480314965" right="0.78740157480314965" top="0.98425196850393704" bottom="0.98425196850393704" header="0" footer="0.39370078740157483"/>
  <pageSetup scale="48"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60"/>
  <sheetViews>
    <sheetView topLeftCell="K34" zoomScale="80" zoomScaleNormal="80" zoomScaleSheetLayoutView="80" workbookViewId="0">
      <selection activeCell="S36" sqref="S36:U37"/>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4" t="s">
        <v>6</v>
      </c>
      <c r="C4" s="45" t="s">
        <v>210</v>
      </c>
      <c r="D4" s="116" t="s">
        <v>211</v>
      </c>
      <c r="E4" s="116"/>
      <c r="F4" s="116"/>
      <c r="G4" s="116"/>
      <c r="H4" s="116"/>
      <c r="I4" s="46"/>
      <c r="J4" s="47" t="s">
        <v>9</v>
      </c>
      <c r="K4" s="48" t="s">
        <v>10</v>
      </c>
      <c r="L4" s="117" t="s">
        <v>11</v>
      </c>
      <c r="M4" s="117"/>
      <c r="N4" s="117"/>
      <c r="O4" s="117"/>
      <c r="P4" s="47" t="s">
        <v>12</v>
      </c>
      <c r="Q4" s="117" t="s">
        <v>212</v>
      </c>
      <c r="R4" s="117"/>
      <c r="S4" s="47" t="s">
        <v>14</v>
      </c>
      <c r="T4" s="117"/>
      <c r="U4" s="118"/>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37.5" customHeight="1" thickBot="1" x14ac:dyDescent="0.25">
      <c r="B6" s="49" t="s">
        <v>16</v>
      </c>
      <c r="C6" s="119" t="s">
        <v>102</v>
      </c>
      <c r="D6" s="119"/>
      <c r="E6" s="119"/>
      <c r="F6" s="119"/>
      <c r="G6" s="119"/>
      <c r="H6" s="50"/>
      <c r="I6" s="50"/>
      <c r="J6" s="50" t="s">
        <v>18</v>
      </c>
      <c r="K6" s="119" t="s">
        <v>103</v>
      </c>
      <c r="L6" s="119"/>
      <c r="M6" s="119"/>
      <c r="N6" s="51"/>
      <c r="O6" s="50" t="s">
        <v>20</v>
      </c>
      <c r="P6" s="119" t="s">
        <v>213</v>
      </c>
      <c r="Q6" s="119"/>
      <c r="R6" s="52"/>
      <c r="S6" s="50" t="s">
        <v>22</v>
      </c>
      <c r="T6" s="119" t="s">
        <v>214</v>
      </c>
      <c r="U6" s="12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104.25" customHeight="1" thickTop="1" thickBot="1" x14ac:dyDescent="0.25">
      <c r="A11" s="21"/>
      <c r="B11" s="22" t="s">
        <v>38</v>
      </c>
      <c r="C11" s="99" t="s">
        <v>215</v>
      </c>
      <c r="D11" s="99"/>
      <c r="E11" s="99"/>
      <c r="F11" s="99"/>
      <c r="G11" s="99"/>
      <c r="H11" s="99"/>
      <c r="I11" s="99" t="s">
        <v>216</v>
      </c>
      <c r="J11" s="99"/>
      <c r="K11" s="99"/>
      <c r="L11" s="100" t="s">
        <v>217</v>
      </c>
      <c r="M11" s="100"/>
      <c r="N11" s="100"/>
      <c r="O11" s="100"/>
      <c r="P11" s="23" t="s">
        <v>218</v>
      </c>
      <c r="Q11" s="23" t="s">
        <v>219</v>
      </c>
      <c r="R11" s="53" t="s">
        <v>110</v>
      </c>
      <c r="S11" s="53" t="s">
        <v>110</v>
      </c>
      <c r="T11" s="53" t="s">
        <v>110</v>
      </c>
      <c r="U11" s="58" t="str">
        <f>"N/A"</f>
        <v>N/A</v>
      </c>
    </row>
    <row r="12" spans="1:21" ht="99.75" customHeight="1" thickTop="1" thickBot="1" x14ac:dyDescent="0.25">
      <c r="A12" s="21"/>
      <c r="B12" s="22" t="s">
        <v>47</v>
      </c>
      <c r="C12" s="99" t="s">
        <v>220</v>
      </c>
      <c r="D12" s="99"/>
      <c r="E12" s="99"/>
      <c r="F12" s="99"/>
      <c r="G12" s="99"/>
      <c r="H12" s="99"/>
      <c r="I12" s="99" t="s">
        <v>221</v>
      </c>
      <c r="J12" s="99"/>
      <c r="K12" s="99"/>
      <c r="L12" s="100" t="s">
        <v>222</v>
      </c>
      <c r="M12" s="100"/>
      <c r="N12" s="100"/>
      <c r="O12" s="100"/>
      <c r="P12" s="23" t="s">
        <v>223</v>
      </c>
      <c r="Q12" s="23" t="s">
        <v>129</v>
      </c>
      <c r="R12" s="53" t="s">
        <v>110</v>
      </c>
      <c r="S12" s="53">
        <v>2.4</v>
      </c>
      <c r="T12" s="53">
        <v>2.13</v>
      </c>
      <c r="U12" s="58">
        <f>88.75</f>
        <v>88.75</v>
      </c>
    </row>
    <row r="13" spans="1:21" ht="111.75" customHeight="1" thickTop="1" x14ac:dyDescent="0.2">
      <c r="A13" s="21"/>
      <c r="B13" s="22" t="s">
        <v>54</v>
      </c>
      <c r="C13" s="99" t="s">
        <v>224</v>
      </c>
      <c r="D13" s="99"/>
      <c r="E13" s="99"/>
      <c r="F13" s="99"/>
      <c r="G13" s="99"/>
      <c r="H13" s="99"/>
      <c r="I13" s="99" t="s">
        <v>225</v>
      </c>
      <c r="J13" s="99"/>
      <c r="K13" s="99"/>
      <c r="L13" s="100" t="s">
        <v>226</v>
      </c>
      <c r="M13" s="100"/>
      <c r="N13" s="100"/>
      <c r="O13" s="100"/>
      <c r="P13" s="23" t="s">
        <v>42</v>
      </c>
      <c r="Q13" s="23" t="s">
        <v>43</v>
      </c>
      <c r="R13" s="53">
        <v>17.88</v>
      </c>
      <c r="S13" s="53">
        <v>17.88</v>
      </c>
      <c r="T13" s="53">
        <v>19.260000000000002</v>
      </c>
      <c r="U13" s="58">
        <f>107.72</f>
        <v>107.72</v>
      </c>
    </row>
    <row r="14" spans="1:21" ht="75" customHeight="1" x14ac:dyDescent="0.2">
      <c r="A14" s="21"/>
      <c r="B14" s="24" t="s">
        <v>44</v>
      </c>
      <c r="C14" s="101" t="s">
        <v>44</v>
      </c>
      <c r="D14" s="101"/>
      <c r="E14" s="101"/>
      <c r="F14" s="101"/>
      <c r="G14" s="101"/>
      <c r="H14" s="101"/>
      <c r="I14" s="101" t="s">
        <v>227</v>
      </c>
      <c r="J14" s="101"/>
      <c r="K14" s="101"/>
      <c r="L14" s="102" t="s">
        <v>228</v>
      </c>
      <c r="M14" s="102"/>
      <c r="N14" s="102"/>
      <c r="O14" s="102"/>
      <c r="P14" s="25" t="s">
        <v>125</v>
      </c>
      <c r="Q14" s="25" t="s">
        <v>43</v>
      </c>
      <c r="R14" s="55" t="s">
        <v>110</v>
      </c>
      <c r="S14" s="55">
        <v>18145</v>
      </c>
      <c r="T14" s="55">
        <v>19555</v>
      </c>
      <c r="U14" s="59">
        <f>107.8</f>
        <v>107.8</v>
      </c>
    </row>
    <row r="15" spans="1:21" ht="75" customHeight="1" x14ac:dyDescent="0.2">
      <c r="A15" s="21"/>
      <c r="B15" s="24" t="s">
        <v>44</v>
      </c>
      <c r="C15" s="101" t="s">
        <v>44</v>
      </c>
      <c r="D15" s="101"/>
      <c r="E15" s="101"/>
      <c r="F15" s="101"/>
      <c r="G15" s="101"/>
      <c r="H15" s="101"/>
      <c r="I15" s="101" t="s">
        <v>229</v>
      </c>
      <c r="J15" s="101"/>
      <c r="K15" s="101"/>
      <c r="L15" s="102" t="s">
        <v>230</v>
      </c>
      <c r="M15" s="102"/>
      <c r="N15" s="102"/>
      <c r="O15" s="102"/>
      <c r="P15" s="25" t="s">
        <v>42</v>
      </c>
      <c r="Q15" s="25" t="s">
        <v>139</v>
      </c>
      <c r="R15" s="55">
        <v>39.56</v>
      </c>
      <c r="S15" s="55">
        <v>39.56</v>
      </c>
      <c r="T15" s="55">
        <v>42.63</v>
      </c>
      <c r="U15" s="59">
        <f>107.77</f>
        <v>107.77</v>
      </c>
    </row>
    <row r="16" spans="1:21" ht="117" customHeight="1" x14ac:dyDescent="0.2">
      <c r="A16" s="21"/>
      <c r="B16" s="24" t="s">
        <v>44</v>
      </c>
      <c r="C16" s="101" t="s">
        <v>231</v>
      </c>
      <c r="D16" s="101"/>
      <c r="E16" s="101"/>
      <c r="F16" s="101"/>
      <c r="G16" s="101"/>
      <c r="H16" s="101"/>
      <c r="I16" s="101" t="s">
        <v>232</v>
      </c>
      <c r="J16" s="101"/>
      <c r="K16" s="101"/>
      <c r="L16" s="102" t="s">
        <v>233</v>
      </c>
      <c r="M16" s="102"/>
      <c r="N16" s="102"/>
      <c r="O16" s="102"/>
      <c r="P16" s="25" t="s">
        <v>125</v>
      </c>
      <c r="Q16" s="25" t="s">
        <v>43</v>
      </c>
      <c r="R16" s="55" t="s">
        <v>110</v>
      </c>
      <c r="S16" s="55">
        <v>27727</v>
      </c>
      <c r="T16" s="55">
        <v>13609</v>
      </c>
      <c r="U16" s="59">
        <f>49</f>
        <v>49</v>
      </c>
    </row>
    <row r="17" spans="1:21" ht="114.75" customHeight="1" x14ac:dyDescent="0.2">
      <c r="A17" s="21"/>
      <c r="B17" s="24" t="s">
        <v>44</v>
      </c>
      <c r="C17" s="101" t="s">
        <v>44</v>
      </c>
      <c r="D17" s="101"/>
      <c r="E17" s="101"/>
      <c r="F17" s="101"/>
      <c r="G17" s="101"/>
      <c r="H17" s="101"/>
      <c r="I17" s="101" t="s">
        <v>234</v>
      </c>
      <c r="J17" s="101"/>
      <c r="K17" s="101"/>
      <c r="L17" s="102" t="s">
        <v>235</v>
      </c>
      <c r="M17" s="102"/>
      <c r="N17" s="102"/>
      <c r="O17" s="102"/>
      <c r="P17" s="25" t="s">
        <v>42</v>
      </c>
      <c r="Q17" s="25" t="s">
        <v>43</v>
      </c>
      <c r="R17" s="55">
        <v>1.67</v>
      </c>
      <c r="S17" s="55">
        <v>1.67</v>
      </c>
      <c r="T17" s="55">
        <v>0.82</v>
      </c>
      <c r="U17" s="59">
        <f>49.1</f>
        <v>49.1</v>
      </c>
    </row>
    <row r="18" spans="1:21" ht="75" customHeight="1" x14ac:dyDescent="0.2">
      <c r="A18" s="21"/>
      <c r="B18" s="24" t="s">
        <v>44</v>
      </c>
      <c r="C18" s="101" t="s">
        <v>44</v>
      </c>
      <c r="D18" s="101"/>
      <c r="E18" s="101"/>
      <c r="F18" s="101"/>
      <c r="G18" s="101"/>
      <c r="H18" s="101"/>
      <c r="I18" s="101" t="s">
        <v>236</v>
      </c>
      <c r="J18" s="101"/>
      <c r="K18" s="101"/>
      <c r="L18" s="102" t="s">
        <v>237</v>
      </c>
      <c r="M18" s="102"/>
      <c r="N18" s="102"/>
      <c r="O18" s="102"/>
      <c r="P18" s="25" t="s">
        <v>42</v>
      </c>
      <c r="Q18" s="25" t="s">
        <v>43</v>
      </c>
      <c r="R18" s="55">
        <v>0.32</v>
      </c>
      <c r="S18" s="55">
        <v>0.32</v>
      </c>
      <c r="T18" s="55">
        <v>0.02</v>
      </c>
      <c r="U18" s="59">
        <f>6.25</f>
        <v>6.25</v>
      </c>
    </row>
    <row r="19" spans="1:21" ht="107.25" customHeight="1" x14ac:dyDescent="0.2">
      <c r="A19" s="21"/>
      <c r="B19" s="24" t="s">
        <v>44</v>
      </c>
      <c r="C19" s="101" t="s">
        <v>44</v>
      </c>
      <c r="D19" s="101"/>
      <c r="E19" s="101"/>
      <c r="F19" s="101"/>
      <c r="G19" s="101"/>
      <c r="H19" s="101"/>
      <c r="I19" s="101" t="s">
        <v>238</v>
      </c>
      <c r="J19" s="101"/>
      <c r="K19" s="101"/>
      <c r="L19" s="102" t="s">
        <v>239</v>
      </c>
      <c r="M19" s="102"/>
      <c r="N19" s="102"/>
      <c r="O19" s="102"/>
      <c r="P19" s="25" t="s">
        <v>42</v>
      </c>
      <c r="Q19" s="25" t="s">
        <v>43</v>
      </c>
      <c r="R19" s="55">
        <v>2.86</v>
      </c>
      <c r="S19" s="55">
        <v>2.86</v>
      </c>
      <c r="T19" s="55">
        <v>0.43</v>
      </c>
      <c r="U19" s="59">
        <f>15.03</f>
        <v>15.03</v>
      </c>
    </row>
    <row r="20" spans="1:21" ht="107.25" customHeight="1" x14ac:dyDescent="0.2">
      <c r="A20" s="21"/>
      <c r="B20" s="24" t="s">
        <v>44</v>
      </c>
      <c r="C20" s="101" t="s">
        <v>44</v>
      </c>
      <c r="D20" s="101"/>
      <c r="E20" s="101"/>
      <c r="F20" s="101"/>
      <c r="G20" s="101"/>
      <c r="H20" s="101"/>
      <c r="I20" s="101" t="s">
        <v>240</v>
      </c>
      <c r="J20" s="101"/>
      <c r="K20" s="101"/>
      <c r="L20" s="102" t="s">
        <v>241</v>
      </c>
      <c r="M20" s="102"/>
      <c r="N20" s="102"/>
      <c r="O20" s="102"/>
      <c r="P20" s="25" t="s">
        <v>42</v>
      </c>
      <c r="Q20" s="25" t="s">
        <v>43</v>
      </c>
      <c r="R20" s="55">
        <v>1.1499999999999999</v>
      </c>
      <c r="S20" s="55">
        <v>1.1499999999999999</v>
      </c>
      <c r="T20" s="55">
        <v>0.15</v>
      </c>
      <c r="U20" s="59">
        <f>13.04</f>
        <v>13.04</v>
      </c>
    </row>
    <row r="21" spans="1:21" ht="75" customHeight="1" thickBot="1" x14ac:dyDescent="0.25">
      <c r="A21" s="21"/>
      <c r="B21" s="24" t="s">
        <v>44</v>
      </c>
      <c r="C21" s="101" t="s">
        <v>44</v>
      </c>
      <c r="D21" s="101"/>
      <c r="E21" s="101"/>
      <c r="F21" s="101"/>
      <c r="G21" s="101"/>
      <c r="H21" s="101"/>
      <c r="I21" s="101" t="s">
        <v>242</v>
      </c>
      <c r="J21" s="101"/>
      <c r="K21" s="101"/>
      <c r="L21" s="102" t="s">
        <v>243</v>
      </c>
      <c r="M21" s="102"/>
      <c r="N21" s="102"/>
      <c r="O21" s="102"/>
      <c r="P21" s="25" t="s">
        <v>125</v>
      </c>
      <c r="Q21" s="25" t="s">
        <v>139</v>
      </c>
      <c r="R21" s="55">
        <v>60.44</v>
      </c>
      <c r="S21" s="55">
        <v>60.44</v>
      </c>
      <c r="T21" s="55">
        <v>29.67</v>
      </c>
      <c r="U21" s="59">
        <f>49.09</f>
        <v>49.09</v>
      </c>
    </row>
    <row r="22" spans="1:21" ht="75" customHeight="1" thickTop="1" x14ac:dyDescent="0.2">
      <c r="A22" s="21"/>
      <c r="B22" s="22" t="s">
        <v>62</v>
      </c>
      <c r="C22" s="99" t="s">
        <v>244</v>
      </c>
      <c r="D22" s="99"/>
      <c r="E22" s="99"/>
      <c r="F22" s="99"/>
      <c r="G22" s="99"/>
      <c r="H22" s="99"/>
      <c r="I22" s="99" t="s">
        <v>245</v>
      </c>
      <c r="J22" s="99"/>
      <c r="K22" s="99"/>
      <c r="L22" s="100" t="s">
        <v>246</v>
      </c>
      <c r="M22" s="100"/>
      <c r="N22" s="100"/>
      <c r="O22" s="100"/>
      <c r="P22" s="23" t="s">
        <v>42</v>
      </c>
      <c r="Q22" s="23" t="s">
        <v>75</v>
      </c>
      <c r="R22" s="53">
        <v>70</v>
      </c>
      <c r="S22" s="53">
        <v>70</v>
      </c>
      <c r="T22" s="53">
        <v>52.5</v>
      </c>
      <c r="U22" s="58">
        <f>75</f>
        <v>75</v>
      </c>
    </row>
    <row r="23" spans="1:21" ht="75" customHeight="1" x14ac:dyDescent="0.2">
      <c r="A23" s="21"/>
      <c r="B23" s="24" t="s">
        <v>44</v>
      </c>
      <c r="C23" s="101" t="s">
        <v>247</v>
      </c>
      <c r="D23" s="101"/>
      <c r="E23" s="101"/>
      <c r="F23" s="101"/>
      <c r="G23" s="101"/>
      <c r="H23" s="101"/>
      <c r="I23" s="101" t="s">
        <v>248</v>
      </c>
      <c r="J23" s="101"/>
      <c r="K23" s="101"/>
      <c r="L23" s="102" t="s">
        <v>249</v>
      </c>
      <c r="M23" s="102"/>
      <c r="N23" s="102"/>
      <c r="O23" s="102"/>
      <c r="P23" s="25" t="s">
        <v>250</v>
      </c>
      <c r="Q23" s="25" t="s">
        <v>251</v>
      </c>
      <c r="R23" s="55" t="s">
        <v>110</v>
      </c>
      <c r="S23" s="55">
        <v>45872</v>
      </c>
      <c r="T23" s="55">
        <v>33164</v>
      </c>
      <c r="U23" s="59">
        <f>72.29</f>
        <v>72.290000000000006</v>
      </c>
    </row>
    <row r="24" spans="1:21" ht="75" customHeight="1" x14ac:dyDescent="0.2">
      <c r="A24" s="21"/>
      <c r="B24" s="24" t="s">
        <v>44</v>
      </c>
      <c r="C24" s="101" t="s">
        <v>252</v>
      </c>
      <c r="D24" s="101"/>
      <c r="E24" s="101"/>
      <c r="F24" s="101"/>
      <c r="G24" s="101"/>
      <c r="H24" s="101"/>
      <c r="I24" s="101" t="s">
        <v>253</v>
      </c>
      <c r="J24" s="101"/>
      <c r="K24" s="101"/>
      <c r="L24" s="102" t="s">
        <v>254</v>
      </c>
      <c r="M24" s="102"/>
      <c r="N24" s="102"/>
      <c r="O24" s="102"/>
      <c r="P24" s="25" t="s">
        <v>167</v>
      </c>
      <c r="Q24" s="25" t="s">
        <v>75</v>
      </c>
      <c r="R24" s="55" t="s">
        <v>110</v>
      </c>
      <c r="S24" s="55">
        <v>30</v>
      </c>
      <c r="T24" s="55">
        <v>14.47</v>
      </c>
      <c r="U24" s="59">
        <f>48.2</f>
        <v>48.2</v>
      </c>
    </row>
    <row r="25" spans="1:21" ht="75" customHeight="1" x14ac:dyDescent="0.2">
      <c r="A25" s="21"/>
      <c r="B25" s="24" t="s">
        <v>44</v>
      </c>
      <c r="C25" s="101" t="s">
        <v>255</v>
      </c>
      <c r="D25" s="101"/>
      <c r="E25" s="101"/>
      <c r="F25" s="101"/>
      <c r="G25" s="101"/>
      <c r="H25" s="101"/>
      <c r="I25" s="101" t="s">
        <v>256</v>
      </c>
      <c r="J25" s="101"/>
      <c r="K25" s="101"/>
      <c r="L25" s="102" t="s">
        <v>257</v>
      </c>
      <c r="M25" s="102"/>
      <c r="N25" s="102"/>
      <c r="O25" s="102"/>
      <c r="P25" s="25" t="s">
        <v>42</v>
      </c>
      <c r="Q25" s="25" t="s">
        <v>75</v>
      </c>
      <c r="R25" s="55">
        <v>50</v>
      </c>
      <c r="S25" s="55">
        <v>50</v>
      </c>
      <c r="T25" s="55">
        <v>34.1</v>
      </c>
      <c r="U25" s="59">
        <f>68.2</f>
        <v>68.2</v>
      </c>
    </row>
    <row r="26" spans="1:21" ht="75" customHeight="1" x14ac:dyDescent="0.2">
      <c r="A26" s="21"/>
      <c r="B26" s="24" t="s">
        <v>44</v>
      </c>
      <c r="C26" s="101" t="s">
        <v>44</v>
      </c>
      <c r="D26" s="101"/>
      <c r="E26" s="101"/>
      <c r="F26" s="101"/>
      <c r="G26" s="101"/>
      <c r="H26" s="101"/>
      <c r="I26" s="101" t="s">
        <v>258</v>
      </c>
      <c r="J26" s="101"/>
      <c r="K26" s="101"/>
      <c r="L26" s="102" t="s">
        <v>259</v>
      </c>
      <c r="M26" s="102"/>
      <c r="N26" s="102"/>
      <c r="O26" s="102"/>
      <c r="P26" s="25" t="s">
        <v>42</v>
      </c>
      <c r="Q26" s="25" t="s">
        <v>58</v>
      </c>
      <c r="R26" s="55">
        <v>37</v>
      </c>
      <c r="S26" s="55">
        <v>37</v>
      </c>
      <c r="T26" s="55">
        <v>39.909999999999997</v>
      </c>
      <c r="U26" s="59">
        <f>107.86</f>
        <v>107.86</v>
      </c>
    </row>
    <row r="27" spans="1:21" ht="75" customHeight="1" x14ac:dyDescent="0.2">
      <c r="A27" s="21"/>
      <c r="B27" s="24" t="s">
        <v>44</v>
      </c>
      <c r="C27" s="101" t="s">
        <v>44</v>
      </c>
      <c r="D27" s="101"/>
      <c r="E27" s="101"/>
      <c r="F27" s="101"/>
      <c r="G27" s="101"/>
      <c r="H27" s="101"/>
      <c r="I27" s="101" t="s">
        <v>260</v>
      </c>
      <c r="J27" s="101"/>
      <c r="K27" s="101"/>
      <c r="L27" s="102" t="s">
        <v>261</v>
      </c>
      <c r="M27" s="102"/>
      <c r="N27" s="102"/>
      <c r="O27" s="102"/>
      <c r="P27" s="25" t="s">
        <v>42</v>
      </c>
      <c r="Q27" s="25" t="s">
        <v>75</v>
      </c>
      <c r="R27" s="55">
        <v>10.18</v>
      </c>
      <c r="S27" s="55">
        <v>10.18</v>
      </c>
      <c r="T27" s="55">
        <v>0</v>
      </c>
      <c r="U27" s="59">
        <f>0</f>
        <v>0</v>
      </c>
    </row>
    <row r="28" spans="1:21" ht="75" customHeight="1" x14ac:dyDescent="0.2">
      <c r="A28" s="21"/>
      <c r="B28" s="24" t="s">
        <v>44</v>
      </c>
      <c r="C28" s="101" t="s">
        <v>44</v>
      </c>
      <c r="D28" s="101"/>
      <c r="E28" s="101"/>
      <c r="F28" s="101"/>
      <c r="G28" s="101"/>
      <c r="H28" s="101"/>
      <c r="I28" s="101" t="s">
        <v>262</v>
      </c>
      <c r="J28" s="101"/>
      <c r="K28" s="101"/>
      <c r="L28" s="102" t="s">
        <v>263</v>
      </c>
      <c r="M28" s="102"/>
      <c r="N28" s="102"/>
      <c r="O28" s="102"/>
      <c r="P28" s="25" t="s">
        <v>42</v>
      </c>
      <c r="Q28" s="25" t="s">
        <v>58</v>
      </c>
      <c r="R28" s="55">
        <v>63</v>
      </c>
      <c r="S28" s="55">
        <v>63</v>
      </c>
      <c r="T28" s="55">
        <v>49.6</v>
      </c>
      <c r="U28" s="59">
        <f>78.73</f>
        <v>78.73</v>
      </c>
    </row>
    <row r="29" spans="1:21" ht="75" customHeight="1" x14ac:dyDescent="0.2">
      <c r="A29" s="21"/>
      <c r="B29" s="24" t="s">
        <v>44</v>
      </c>
      <c r="C29" s="101" t="s">
        <v>264</v>
      </c>
      <c r="D29" s="101"/>
      <c r="E29" s="101"/>
      <c r="F29" s="101"/>
      <c r="G29" s="101"/>
      <c r="H29" s="101"/>
      <c r="I29" s="101" t="s">
        <v>265</v>
      </c>
      <c r="J29" s="101"/>
      <c r="K29" s="101"/>
      <c r="L29" s="102" t="s">
        <v>266</v>
      </c>
      <c r="M29" s="102"/>
      <c r="N29" s="102"/>
      <c r="O29" s="102"/>
      <c r="P29" s="25" t="s">
        <v>42</v>
      </c>
      <c r="Q29" s="25" t="s">
        <v>58</v>
      </c>
      <c r="R29" s="55">
        <v>100</v>
      </c>
      <c r="S29" s="55">
        <v>100</v>
      </c>
      <c r="T29" s="55">
        <v>72.3</v>
      </c>
      <c r="U29" s="59">
        <f>72.3</f>
        <v>72.3</v>
      </c>
    </row>
    <row r="30" spans="1:21" ht="75" customHeight="1" x14ac:dyDescent="0.2">
      <c r="A30" s="21"/>
      <c r="B30" s="24" t="s">
        <v>44</v>
      </c>
      <c r="C30" s="101" t="s">
        <v>267</v>
      </c>
      <c r="D30" s="101"/>
      <c r="E30" s="101"/>
      <c r="F30" s="101"/>
      <c r="G30" s="101"/>
      <c r="H30" s="101"/>
      <c r="I30" s="101" t="s">
        <v>268</v>
      </c>
      <c r="J30" s="101"/>
      <c r="K30" s="101"/>
      <c r="L30" s="102" t="s">
        <v>269</v>
      </c>
      <c r="M30" s="102"/>
      <c r="N30" s="102"/>
      <c r="O30" s="102"/>
      <c r="P30" s="25" t="s">
        <v>42</v>
      </c>
      <c r="Q30" s="25" t="s">
        <v>270</v>
      </c>
      <c r="R30" s="55">
        <v>100</v>
      </c>
      <c r="S30" s="55">
        <v>100</v>
      </c>
      <c r="T30" s="55">
        <v>100</v>
      </c>
      <c r="U30" s="59">
        <f>100</f>
        <v>100</v>
      </c>
    </row>
    <row r="31" spans="1:21" ht="75" customHeight="1" x14ac:dyDescent="0.2">
      <c r="A31" s="21"/>
      <c r="B31" s="24" t="s">
        <v>44</v>
      </c>
      <c r="C31" s="101" t="s">
        <v>271</v>
      </c>
      <c r="D31" s="101"/>
      <c r="E31" s="101"/>
      <c r="F31" s="101"/>
      <c r="G31" s="101"/>
      <c r="H31" s="101"/>
      <c r="I31" s="101" t="s">
        <v>272</v>
      </c>
      <c r="J31" s="101"/>
      <c r="K31" s="101"/>
      <c r="L31" s="102" t="s">
        <v>273</v>
      </c>
      <c r="M31" s="102"/>
      <c r="N31" s="102"/>
      <c r="O31" s="102"/>
      <c r="P31" s="25" t="s">
        <v>42</v>
      </c>
      <c r="Q31" s="25" t="s">
        <v>75</v>
      </c>
      <c r="R31" s="55">
        <v>33.630000000000003</v>
      </c>
      <c r="S31" s="55">
        <v>33.630000000000003</v>
      </c>
      <c r="T31" s="55">
        <v>4.3099999999999996</v>
      </c>
      <c r="U31" s="59">
        <f>12.82</f>
        <v>12.82</v>
      </c>
    </row>
    <row r="32" spans="1:21" ht="75" customHeight="1" thickBot="1" x14ac:dyDescent="0.25">
      <c r="A32" s="21"/>
      <c r="B32" s="24" t="s">
        <v>44</v>
      </c>
      <c r="C32" s="101" t="s">
        <v>44</v>
      </c>
      <c r="D32" s="101"/>
      <c r="E32" s="101"/>
      <c r="F32" s="101"/>
      <c r="G32" s="101"/>
      <c r="H32" s="101"/>
      <c r="I32" s="101" t="s">
        <v>274</v>
      </c>
      <c r="J32" s="101"/>
      <c r="K32" s="101"/>
      <c r="L32" s="102" t="s">
        <v>275</v>
      </c>
      <c r="M32" s="102"/>
      <c r="N32" s="102"/>
      <c r="O32" s="102"/>
      <c r="P32" s="25" t="s">
        <v>42</v>
      </c>
      <c r="Q32" s="25" t="s">
        <v>75</v>
      </c>
      <c r="R32" s="55">
        <v>58.84</v>
      </c>
      <c r="S32" s="55">
        <v>58.84</v>
      </c>
      <c r="T32" s="55">
        <v>51.8</v>
      </c>
      <c r="U32" s="59">
        <f>88.04</f>
        <v>88.04</v>
      </c>
    </row>
    <row r="33" spans="2:22" ht="14.25" customHeight="1" thickTop="1" thickBot="1" x14ac:dyDescent="0.25">
      <c r="B33" s="4" t="s">
        <v>79</v>
      </c>
      <c r="C33" s="5"/>
      <c r="D33" s="5"/>
      <c r="E33" s="5"/>
      <c r="F33" s="5"/>
      <c r="G33" s="5"/>
      <c r="H33" s="6"/>
      <c r="I33" s="6"/>
      <c r="J33" s="6"/>
      <c r="K33" s="6"/>
      <c r="L33" s="6"/>
      <c r="M33" s="6"/>
      <c r="N33" s="6"/>
      <c r="O33" s="6"/>
      <c r="P33" s="6"/>
      <c r="Q33" s="6"/>
      <c r="R33" s="6"/>
      <c r="S33" s="6"/>
      <c r="T33" s="6"/>
      <c r="U33" s="7"/>
      <c r="V33" s="26"/>
    </row>
    <row r="34" spans="2:22" ht="26.25" customHeight="1" thickTop="1" x14ac:dyDescent="0.2">
      <c r="B34" s="27"/>
      <c r="C34" s="28"/>
      <c r="D34" s="28"/>
      <c r="E34" s="28"/>
      <c r="F34" s="28"/>
      <c r="G34" s="28"/>
      <c r="H34" s="29"/>
      <c r="I34" s="29"/>
      <c r="J34" s="29"/>
      <c r="K34" s="29"/>
      <c r="L34" s="29"/>
      <c r="M34" s="29"/>
      <c r="N34" s="29"/>
      <c r="O34" s="29"/>
      <c r="P34" s="29"/>
      <c r="Q34" s="29"/>
      <c r="R34" s="30"/>
      <c r="S34" s="31" t="s">
        <v>33</v>
      </c>
      <c r="T34" s="31" t="s">
        <v>80</v>
      </c>
      <c r="U34" s="18" t="s">
        <v>81</v>
      </c>
    </row>
    <row r="35" spans="2:22" ht="37.5" customHeight="1" thickBot="1" x14ac:dyDescent="0.25">
      <c r="B35" s="32"/>
      <c r="C35" s="33"/>
      <c r="D35" s="33"/>
      <c r="E35" s="33"/>
      <c r="F35" s="33"/>
      <c r="G35" s="33"/>
      <c r="H35" s="34"/>
      <c r="I35" s="34"/>
      <c r="J35" s="34"/>
      <c r="K35" s="34"/>
      <c r="L35" s="34"/>
      <c r="M35" s="34"/>
      <c r="N35" s="34"/>
      <c r="O35" s="34"/>
      <c r="P35" s="34"/>
      <c r="Q35" s="34"/>
      <c r="R35" s="34"/>
      <c r="S35" s="35" t="s">
        <v>82</v>
      </c>
      <c r="T35" s="36" t="s">
        <v>82</v>
      </c>
      <c r="U35" s="36" t="s">
        <v>83</v>
      </c>
    </row>
    <row r="36" spans="2:22" ht="23.25" customHeight="1" thickBot="1" x14ac:dyDescent="0.25">
      <c r="B36" s="106" t="s">
        <v>84</v>
      </c>
      <c r="C36" s="107"/>
      <c r="D36" s="107"/>
      <c r="E36" s="37"/>
      <c r="F36" s="37"/>
      <c r="G36" s="37"/>
      <c r="H36" s="38"/>
      <c r="I36" s="38"/>
      <c r="J36" s="38"/>
      <c r="K36" s="38"/>
      <c r="L36" s="38"/>
      <c r="M36" s="38"/>
      <c r="N36" s="38"/>
      <c r="O36" s="38"/>
      <c r="P36" s="39"/>
      <c r="Q36" s="39"/>
      <c r="R36" s="39"/>
      <c r="S36" s="63">
        <v>1564.82</v>
      </c>
      <c r="T36" s="63">
        <v>1707.83</v>
      </c>
      <c r="U36" s="64">
        <f>+IF(ISERR(T36/S36*100),"N/A",ROUND(T36/S36*100,1))</f>
        <v>109.1</v>
      </c>
    </row>
    <row r="37" spans="2:22" ht="23.25" customHeight="1" thickBot="1" x14ac:dyDescent="0.25">
      <c r="B37" s="108" t="s">
        <v>85</v>
      </c>
      <c r="C37" s="109"/>
      <c r="D37" s="109"/>
      <c r="E37" s="40"/>
      <c r="F37" s="40"/>
      <c r="G37" s="40"/>
      <c r="H37" s="41"/>
      <c r="I37" s="41"/>
      <c r="J37" s="41"/>
      <c r="K37" s="41"/>
      <c r="L37" s="41"/>
      <c r="M37" s="41"/>
      <c r="N37" s="41"/>
      <c r="O37" s="41"/>
      <c r="P37" s="42"/>
      <c r="Q37" s="42"/>
      <c r="R37" s="42"/>
      <c r="S37" s="63">
        <v>1708.63</v>
      </c>
      <c r="T37" s="63">
        <v>1707.83</v>
      </c>
      <c r="U37" s="64">
        <v>99.95</v>
      </c>
    </row>
    <row r="38" spans="2:22" ht="14.85" customHeight="1" thickTop="1" thickBot="1" x14ac:dyDescent="0.25">
      <c r="B38" s="4" t="s">
        <v>86</v>
      </c>
      <c r="C38" s="5"/>
      <c r="D38" s="5"/>
      <c r="E38" s="5"/>
      <c r="F38" s="5"/>
      <c r="G38" s="5"/>
      <c r="H38" s="6"/>
      <c r="I38" s="6"/>
      <c r="J38" s="6"/>
      <c r="K38" s="6"/>
      <c r="L38" s="6"/>
      <c r="M38" s="6"/>
      <c r="N38" s="6"/>
      <c r="O38" s="6"/>
      <c r="P38" s="6"/>
      <c r="Q38" s="6"/>
      <c r="R38" s="6"/>
      <c r="S38" s="6"/>
      <c r="T38" s="6"/>
      <c r="U38" s="7"/>
    </row>
    <row r="39" spans="2:22" ht="44.25" customHeight="1" thickTop="1" x14ac:dyDescent="0.2">
      <c r="B39" s="110" t="s">
        <v>87</v>
      </c>
      <c r="C39" s="111"/>
      <c r="D39" s="111"/>
      <c r="E39" s="111"/>
      <c r="F39" s="111"/>
      <c r="G39" s="111"/>
      <c r="H39" s="111"/>
      <c r="I39" s="111"/>
      <c r="J39" s="111"/>
      <c r="K39" s="111"/>
      <c r="L39" s="111"/>
      <c r="M39" s="111"/>
      <c r="N39" s="111"/>
      <c r="O39" s="111"/>
      <c r="P39" s="111"/>
      <c r="Q39" s="111"/>
      <c r="R39" s="111"/>
      <c r="S39" s="111"/>
      <c r="T39" s="111"/>
      <c r="U39" s="112"/>
    </row>
    <row r="40" spans="2:22" ht="99.75" customHeight="1" x14ac:dyDescent="0.2">
      <c r="B40" s="103" t="s">
        <v>276</v>
      </c>
      <c r="C40" s="104"/>
      <c r="D40" s="104"/>
      <c r="E40" s="104"/>
      <c r="F40" s="104"/>
      <c r="G40" s="104"/>
      <c r="H40" s="104"/>
      <c r="I40" s="104"/>
      <c r="J40" s="104"/>
      <c r="K40" s="104"/>
      <c r="L40" s="104"/>
      <c r="M40" s="104"/>
      <c r="N40" s="104"/>
      <c r="O40" s="104"/>
      <c r="P40" s="104"/>
      <c r="Q40" s="104"/>
      <c r="R40" s="104"/>
      <c r="S40" s="104"/>
      <c r="T40" s="104"/>
      <c r="U40" s="105"/>
    </row>
    <row r="41" spans="2:22" ht="110.45" customHeight="1" x14ac:dyDescent="0.2">
      <c r="B41" s="103" t="s">
        <v>277</v>
      </c>
      <c r="C41" s="104"/>
      <c r="D41" s="104"/>
      <c r="E41" s="104"/>
      <c r="F41" s="104"/>
      <c r="G41" s="104"/>
      <c r="H41" s="104"/>
      <c r="I41" s="104"/>
      <c r="J41" s="104"/>
      <c r="K41" s="104"/>
      <c r="L41" s="104"/>
      <c r="M41" s="104"/>
      <c r="N41" s="104"/>
      <c r="O41" s="104"/>
      <c r="P41" s="104"/>
      <c r="Q41" s="104"/>
      <c r="R41" s="104"/>
      <c r="S41" s="104"/>
      <c r="T41" s="104"/>
      <c r="U41" s="105"/>
    </row>
    <row r="42" spans="2:22" ht="114.2" customHeight="1" x14ac:dyDescent="0.2">
      <c r="B42" s="103" t="s">
        <v>278</v>
      </c>
      <c r="C42" s="104"/>
      <c r="D42" s="104"/>
      <c r="E42" s="104"/>
      <c r="F42" s="104"/>
      <c r="G42" s="104"/>
      <c r="H42" s="104"/>
      <c r="I42" s="104"/>
      <c r="J42" s="104"/>
      <c r="K42" s="104"/>
      <c r="L42" s="104"/>
      <c r="M42" s="104"/>
      <c r="N42" s="104"/>
      <c r="O42" s="104"/>
      <c r="P42" s="104"/>
      <c r="Q42" s="104"/>
      <c r="R42" s="104"/>
      <c r="S42" s="104"/>
      <c r="T42" s="104"/>
      <c r="U42" s="105"/>
    </row>
    <row r="43" spans="2:22" ht="100.5" customHeight="1" x14ac:dyDescent="0.2">
      <c r="B43" s="103" t="s">
        <v>279</v>
      </c>
      <c r="C43" s="104"/>
      <c r="D43" s="104"/>
      <c r="E43" s="104"/>
      <c r="F43" s="104"/>
      <c r="G43" s="104"/>
      <c r="H43" s="104"/>
      <c r="I43" s="104"/>
      <c r="J43" s="104"/>
      <c r="K43" s="104"/>
      <c r="L43" s="104"/>
      <c r="M43" s="104"/>
      <c r="N43" s="104"/>
      <c r="O43" s="104"/>
      <c r="P43" s="104"/>
      <c r="Q43" s="104"/>
      <c r="R43" s="104"/>
      <c r="S43" s="104"/>
      <c r="T43" s="104"/>
      <c r="U43" s="105"/>
    </row>
    <row r="44" spans="2:22" ht="117.6" customHeight="1" x14ac:dyDescent="0.2">
      <c r="B44" s="103" t="s">
        <v>280</v>
      </c>
      <c r="C44" s="104"/>
      <c r="D44" s="104"/>
      <c r="E44" s="104"/>
      <c r="F44" s="104"/>
      <c r="G44" s="104"/>
      <c r="H44" s="104"/>
      <c r="I44" s="104"/>
      <c r="J44" s="104"/>
      <c r="K44" s="104"/>
      <c r="L44" s="104"/>
      <c r="M44" s="104"/>
      <c r="N44" s="104"/>
      <c r="O44" s="104"/>
      <c r="P44" s="104"/>
      <c r="Q44" s="104"/>
      <c r="R44" s="104"/>
      <c r="S44" s="104"/>
      <c r="T44" s="104"/>
      <c r="U44" s="105"/>
    </row>
    <row r="45" spans="2:22" ht="117.75" customHeight="1" x14ac:dyDescent="0.2">
      <c r="B45" s="103" t="s">
        <v>281</v>
      </c>
      <c r="C45" s="104"/>
      <c r="D45" s="104"/>
      <c r="E45" s="104"/>
      <c r="F45" s="104"/>
      <c r="G45" s="104"/>
      <c r="H45" s="104"/>
      <c r="I45" s="104"/>
      <c r="J45" s="104"/>
      <c r="K45" s="104"/>
      <c r="L45" s="104"/>
      <c r="M45" s="104"/>
      <c r="N45" s="104"/>
      <c r="O45" s="104"/>
      <c r="P45" s="104"/>
      <c r="Q45" s="104"/>
      <c r="R45" s="104"/>
      <c r="S45" s="104"/>
      <c r="T45" s="104"/>
      <c r="U45" s="105"/>
    </row>
    <row r="46" spans="2:22" ht="99.6" customHeight="1" x14ac:dyDescent="0.2">
      <c r="B46" s="103" t="s">
        <v>282</v>
      </c>
      <c r="C46" s="104"/>
      <c r="D46" s="104"/>
      <c r="E46" s="104"/>
      <c r="F46" s="104"/>
      <c r="G46" s="104"/>
      <c r="H46" s="104"/>
      <c r="I46" s="104"/>
      <c r="J46" s="104"/>
      <c r="K46" s="104"/>
      <c r="L46" s="104"/>
      <c r="M46" s="104"/>
      <c r="N46" s="104"/>
      <c r="O46" s="104"/>
      <c r="P46" s="104"/>
      <c r="Q46" s="104"/>
      <c r="R46" s="104"/>
      <c r="S46" s="104"/>
      <c r="T46" s="104"/>
      <c r="U46" s="105"/>
    </row>
    <row r="47" spans="2:22" ht="105" customHeight="1" x14ac:dyDescent="0.2">
      <c r="B47" s="103" t="s">
        <v>283</v>
      </c>
      <c r="C47" s="104"/>
      <c r="D47" s="104"/>
      <c r="E47" s="104"/>
      <c r="F47" s="104"/>
      <c r="G47" s="104"/>
      <c r="H47" s="104"/>
      <c r="I47" s="104"/>
      <c r="J47" s="104"/>
      <c r="K47" s="104"/>
      <c r="L47" s="104"/>
      <c r="M47" s="104"/>
      <c r="N47" s="104"/>
      <c r="O47" s="104"/>
      <c r="P47" s="104"/>
      <c r="Q47" s="104"/>
      <c r="R47" s="104"/>
      <c r="S47" s="104"/>
      <c r="T47" s="104"/>
      <c r="U47" s="105"/>
    </row>
    <row r="48" spans="2:22" ht="96.2" customHeight="1" x14ac:dyDescent="0.2">
      <c r="B48" s="103" t="s">
        <v>284</v>
      </c>
      <c r="C48" s="104"/>
      <c r="D48" s="104"/>
      <c r="E48" s="104"/>
      <c r="F48" s="104"/>
      <c r="G48" s="104"/>
      <c r="H48" s="104"/>
      <c r="I48" s="104"/>
      <c r="J48" s="104"/>
      <c r="K48" s="104"/>
      <c r="L48" s="104"/>
      <c r="M48" s="104"/>
      <c r="N48" s="104"/>
      <c r="O48" s="104"/>
      <c r="P48" s="104"/>
      <c r="Q48" s="104"/>
      <c r="R48" s="104"/>
      <c r="S48" s="104"/>
      <c r="T48" s="104"/>
      <c r="U48" s="105"/>
    </row>
    <row r="49" spans="2:21" ht="121.7" customHeight="1" x14ac:dyDescent="0.2">
      <c r="B49" s="103" t="s">
        <v>285</v>
      </c>
      <c r="C49" s="104"/>
      <c r="D49" s="104"/>
      <c r="E49" s="104"/>
      <c r="F49" s="104"/>
      <c r="G49" s="104"/>
      <c r="H49" s="104"/>
      <c r="I49" s="104"/>
      <c r="J49" s="104"/>
      <c r="K49" s="104"/>
      <c r="L49" s="104"/>
      <c r="M49" s="104"/>
      <c r="N49" s="104"/>
      <c r="O49" s="104"/>
      <c r="P49" s="104"/>
      <c r="Q49" s="104"/>
      <c r="R49" s="104"/>
      <c r="S49" s="104"/>
      <c r="T49" s="104"/>
      <c r="U49" s="105"/>
    </row>
    <row r="50" spans="2:21" ht="162" customHeight="1" x14ac:dyDescent="0.2">
      <c r="B50" s="103" t="s">
        <v>582</v>
      </c>
      <c r="C50" s="104"/>
      <c r="D50" s="104"/>
      <c r="E50" s="104"/>
      <c r="F50" s="104"/>
      <c r="G50" s="104"/>
      <c r="H50" s="104"/>
      <c r="I50" s="104"/>
      <c r="J50" s="104"/>
      <c r="K50" s="104"/>
      <c r="L50" s="104"/>
      <c r="M50" s="104"/>
      <c r="N50" s="104"/>
      <c r="O50" s="104"/>
      <c r="P50" s="104"/>
      <c r="Q50" s="104"/>
      <c r="R50" s="104"/>
      <c r="S50" s="104"/>
      <c r="T50" s="104"/>
      <c r="U50" s="105"/>
    </row>
    <row r="51" spans="2:21" ht="154.35" customHeight="1" x14ac:dyDescent="0.2">
      <c r="B51" s="103" t="s">
        <v>286</v>
      </c>
      <c r="C51" s="104"/>
      <c r="D51" s="104"/>
      <c r="E51" s="104"/>
      <c r="F51" s="104"/>
      <c r="G51" s="104"/>
      <c r="H51" s="104"/>
      <c r="I51" s="104"/>
      <c r="J51" s="104"/>
      <c r="K51" s="104"/>
      <c r="L51" s="104"/>
      <c r="M51" s="104"/>
      <c r="N51" s="104"/>
      <c r="O51" s="104"/>
      <c r="P51" s="104"/>
      <c r="Q51" s="104"/>
      <c r="R51" s="104"/>
      <c r="S51" s="104"/>
      <c r="T51" s="104"/>
      <c r="U51" s="105"/>
    </row>
    <row r="52" spans="2:21" ht="54.75" customHeight="1" x14ac:dyDescent="0.2">
      <c r="B52" s="103" t="s">
        <v>287</v>
      </c>
      <c r="C52" s="104"/>
      <c r="D52" s="104"/>
      <c r="E52" s="104"/>
      <c r="F52" s="104"/>
      <c r="G52" s="104"/>
      <c r="H52" s="104"/>
      <c r="I52" s="104"/>
      <c r="J52" s="104"/>
      <c r="K52" s="104"/>
      <c r="L52" s="104"/>
      <c r="M52" s="104"/>
      <c r="N52" s="104"/>
      <c r="O52" s="104"/>
      <c r="P52" s="104"/>
      <c r="Q52" s="104"/>
      <c r="R52" s="104"/>
      <c r="S52" s="104"/>
      <c r="T52" s="104"/>
      <c r="U52" s="105"/>
    </row>
    <row r="53" spans="2:21" ht="85.5" customHeight="1" x14ac:dyDescent="0.2">
      <c r="B53" s="103" t="s">
        <v>288</v>
      </c>
      <c r="C53" s="104"/>
      <c r="D53" s="104"/>
      <c r="E53" s="104"/>
      <c r="F53" s="104"/>
      <c r="G53" s="104"/>
      <c r="H53" s="104"/>
      <c r="I53" s="104"/>
      <c r="J53" s="104"/>
      <c r="K53" s="104"/>
      <c r="L53" s="104"/>
      <c r="M53" s="104"/>
      <c r="N53" s="104"/>
      <c r="O53" s="104"/>
      <c r="P53" s="104"/>
      <c r="Q53" s="104"/>
      <c r="R53" s="104"/>
      <c r="S53" s="104"/>
      <c r="T53" s="104"/>
      <c r="U53" s="105"/>
    </row>
    <row r="54" spans="2:21" ht="96.75" customHeight="1" x14ac:dyDescent="0.2">
      <c r="B54" s="103" t="s">
        <v>289</v>
      </c>
      <c r="C54" s="104"/>
      <c r="D54" s="104"/>
      <c r="E54" s="104"/>
      <c r="F54" s="104"/>
      <c r="G54" s="104"/>
      <c r="H54" s="104"/>
      <c r="I54" s="104"/>
      <c r="J54" s="104"/>
      <c r="K54" s="104"/>
      <c r="L54" s="104"/>
      <c r="M54" s="104"/>
      <c r="N54" s="104"/>
      <c r="O54" s="104"/>
      <c r="P54" s="104"/>
      <c r="Q54" s="104"/>
      <c r="R54" s="104"/>
      <c r="S54" s="104"/>
      <c r="T54" s="104"/>
      <c r="U54" s="105"/>
    </row>
    <row r="55" spans="2:21" ht="105.75" customHeight="1" x14ac:dyDescent="0.2">
      <c r="B55" s="103" t="s">
        <v>290</v>
      </c>
      <c r="C55" s="104"/>
      <c r="D55" s="104"/>
      <c r="E55" s="104"/>
      <c r="F55" s="104"/>
      <c r="G55" s="104"/>
      <c r="H55" s="104"/>
      <c r="I55" s="104"/>
      <c r="J55" s="104"/>
      <c r="K55" s="104"/>
      <c r="L55" s="104"/>
      <c r="M55" s="104"/>
      <c r="N55" s="104"/>
      <c r="O55" s="104"/>
      <c r="P55" s="104"/>
      <c r="Q55" s="104"/>
      <c r="R55" s="104"/>
      <c r="S55" s="104"/>
      <c r="T55" s="104"/>
      <c r="U55" s="105"/>
    </row>
    <row r="56" spans="2:21" ht="96" customHeight="1" x14ac:dyDescent="0.2">
      <c r="B56" s="103" t="s">
        <v>291</v>
      </c>
      <c r="C56" s="104"/>
      <c r="D56" s="104"/>
      <c r="E56" s="104"/>
      <c r="F56" s="104"/>
      <c r="G56" s="104"/>
      <c r="H56" s="104"/>
      <c r="I56" s="104"/>
      <c r="J56" s="104"/>
      <c r="K56" s="104"/>
      <c r="L56" s="104"/>
      <c r="M56" s="104"/>
      <c r="N56" s="104"/>
      <c r="O56" s="104"/>
      <c r="P56" s="104"/>
      <c r="Q56" s="104"/>
      <c r="R56" s="104"/>
      <c r="S56" s="104"/>
      <c r="T56" s="104"/>
      <c r="U56" s="105"/>
    </row>
    <row r="57" spans="2:21" ht="113.25" customHeight="1" x14ac:dyDescent="0.2">
      <c r="B57" s="103" t="s">
        <v>292</v>
      </c>
      <c r="C57" s="104"/>
      <c r="D57" s="104"/>
      <c r="E57" s="104"/>
      <c r="F57" s="104"/>
      <c r="G57" s="104"/>
      <c r="H57" s="104"/>
      <c r="I57" s="104"/>
      <c r="J57" s="104"/>
      <c r="K57" s="104"/>
      <c r="L57" s="104"/>
      <c r="M57" s="104"/>
      <c r="N57" s="104"/>
      <c r="O57" s="104"/>
      <c r="P57" s="104"/>
      <c r="Q57" s="104"/>
      <c r="R57" s="104"/>
      <c r="S57" s="104"/>
      <c r="T57" s="104"/>
      <c r="U57" s="105"/>
    </row>
    <row r="58" spans="2:21" ht="154.35" customHeight="1" x14ac:dyDescent="0.2">
      <c r="B58" s="103" t="s">
        <v>293</v>
      </c>
      <c r="C58" s="104"/>
      <c r="D58" s="104"/>
      <c r="E58" s="104"/>
      <c r="F58" s="104"/>
      <c r="G58" s="104"/>
      <c r="H58" s="104"/>
      <c r="I58" s="104"/>
      <c r="J58" s="104"/>
      <c r="K58" s="104"/>
      <c r="L58" s="104"/>
      <c r="M58" s="104"/>
      <c r="N58" s="104"/>
      <c r="O58" s="104"/>
      <c r="P58" s="104"/>
      <c r="Q58" s="104"/>
      <c r="R58" s="104"/>
      <c r="S58" s="104"/>
      <c r="T58" s="104"/>
      <c r="U58" s="105"/>
    </row>
    <row r="59" spans="2:21" ht="123.95" customHeight="1" x14ac:dyDescent="0.2">
      <c r="B59" s="103" t="s">
        <v>294</v>
      </c>
      <c r="C59" s="104"/>
      <c r="D59" s="104"/>
      <c r="E59" s="104"/>
      <c r="F59" s="104"/>
      <c r="G59" s="104"/>
      <c r="H59" s="104"/>
      <c r="I59" s="104"/>
      <c r="J59" s="104"/>
      <c r="K59" s="104"/>
      <c r="L59" s="104"/>
      <c r="M59" s="104"/>
      <c r="N59" s="104"/>
      <c r="O59" s="104"/>
      <c r="P59" s="104"/>
      <c r="Q59" s="104"/>
      <c r="R59" s="104"/>
      <c r="S59" s="104"/>
      <c r="T59" s="104"/>
      <c r="U59" s="105"/>
    </row>
    <row r="60" spans="2:21" ht="114.75" customHeight="1" thickBot="1" x14ac:dyDescent="0.25">
      <c r="B60" s="113" t="s">
        <v>295</v>
      </c>
      <c r="C60" s="114"/>
      <c r="D60" s="114"/>
      <c r="E60" s="114"/>
      <c r="F60" s="114"/>
      <c r="G60" s="114"/>
      <c r="H60" s="114"/>
      <c r="I60" s="114"/>
      <c r="J60" s="114"/>
      <c r="K60" s="114"/>
      <c r="L60" s="114"/>
      <c r="M60" s="114"/>
      <c r="N60" s="114"/>
      <c r="O60" s="114"/>
      <c r="P60" s="114"/>
      <c r="Q60" s="114"/>
      <c r="R60" s="114"/>
      <c r="S60" s="114"/>
      <c r="T60" s="114"/>
      <c r="U60" s="115"/>
    </row>
  </sheetData>
  <mergeCells count="111">
    <mergeCell ref="B57:U57"/>
    <mergeCell ref="B58:U58"/>
    <mergeCell ref="B59:U59"/>
    <mergeCell ref="B60:U60"/>
    <mergeCell ref="B51:U51"/>
    <mergeCell ref="B52:U52"/>
    <mergeCell ref="B53:U53"/>
    <mergeCell ref="B54:U54"/>
    <mergeCell ref="B55:U55"/>
    <mergeCell ref="B56:U56"/>
    <mergeCell ref="B45:U45"/>
    <mergeCell ref="B46:U46"/>
    <mergeCell ref="B47:U47"/>
    <mergeCell ref="B48:U48"/>
    <mergeCell ref="B49:U49"/>
    <mergeCell ref="B50:U50"/>
    <mergeCell ref="B40:U40"/>
    <mergeCell ref="B41:U41"/>
    <mergeCell ref="B42:U42"/>
    <mergeCell ref="B43:U43"/>
    <mergeCell ref="B44:U44"/>
    <mergeCell ref="C32:H32"/>
    <mergeCell ref="I32:K32"/>
    <mergeCell ref="L32:O32"/>
    <mergeCell ref="B36:D36"/>
    <mergeCell ref="B37:D37"/>
    <mergeCell ref="B39:U39"/>
    <mergeCell ref="C30:H30"/>
    <mergeCell ref="I30:K30"/>
    <mergeCell ref="L30:O30"/>
    <mergeCell ref="C31:H31"/>
    <mergeCell ref="I31:K31"/>
    <mergeCell ref="L31:O31"/>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7:H17"/>
    <mergeCell ref="I17:K17"/>
    <mergeCell ref="L17:O17"/>
    <mergeCell ref="C14:H14"/>
    <mergeCell ref="I14:K14"/>
    <mergeCell ref="L14:O14"/>
    <mergeCell ref="C15:H15"/>
    <mergeCell ref="I15:K15"/>
    <mergeCell ref="L15:O15"/>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topLeftCell="N16" zoomScale="80" zoomScaleNormal="80" zoomScaleSheetLayoutView="80" workbookViewId="0">
      <selection activeCell="T24" sqref="T24"/>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4" t="s">
        <v>6</v>
      </c>
      <c r="C4" s="45" t="s">
        <v>296</v>
      </c>
      <c r="D4" s="116" t="s">
        <v>297</v>
      </c>
      <c r="E4" s="116"/>
      <c r="F4" s="116"/>
      <c r="G4" s="116"/>
      <c r="H4" s="116"/>
      <c r="I4" s="46"/>
      <c r="J4" s="47" t="s">
        <v>9</v>
      </c>
      <c r="K4" s="48" t="s">
        <v>10</v>
      </c>
      <c r="L4" s="117" t="s">
        <v>11</v>
      </c>
      <c r="M4" s="117"/>
      <c r="N4" s="117"/>
      <c r="O4" s="117"/>
      <c r="P4" s="47" t="s">
        <v>12</v>
      </c>
      <c r="Q4" s="117" t="s">
        <v>298</v>
      </c>
      <c r="R4" s="117"/>
      <c r="S4" s="47" t="s">
        <v>14</v>
      </c>
      <c r="T4" s="117"/>
      <c r="U4" s="118"/>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63.75" customHeight="1" thickBot="1" x14ac:dyDescent="0.25">
      <c r="B6" s="49" t="s">
        <v>16</v>
      </c>
      <c r="C6" s="119" t="s">
        <v>17</v>
      </c>
      <c r="D6" s="119"/>
      <c r="E6" s="119"/>
      <c r="F6" s="119"/>
      <c r="G6" s="119"/>
      <c r="H6" s="50"/>
      <c r="I6" s="50"/>
      <c r="J6" s="50" t="s">
        <v>18</v>
      </c>
      <c r="K6" s="119" t="s">
        <v>19</v>
      </c>
      <c r="L6" s="119"/>
      <c r="M6" s="119"/>
      <c r="N6" s="51"/>
      <c r="O6" s="50" t="s">
        <v>20</v>
      </c>
      <c r="P6" s="119" t="s">
        <v>21</v>
      </c>
      <c r="Q6" s="119"/>
      <c r="R6" s="52"/>
      <c r="S6" s="50" t="s">
        <v>22</v>
      </c>
      <c r="T6" s="119" t="s">
        <v>299</v>
      </c>
      <c r="U6" s="12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99.75" customHeight="1" thickTop="1" thickBot="1" x14ac:dyDescent="0.25">
      <c r="A11" s="21"/>
      <c r="B11" s="22" t="s">
        <v>38</v>
      </c>
      <c r="C11" s="99" t="s">
        <v>300</v>
      </c>
      <c r="D11" s="99"/>
      <c r="E11" s="99"/>
      <c r="F11" s="99"/>
      <c r="G11" s="99"/>
      <c r="H11" s="99"/>
      <c r="I11" s="99" t="s">
        <v>301</v>
      </c>
      <c r="J11" s="99"/>
      <c r="K11" s="99"/>
      <c r="L11" s="100" t="s">
        <v>302</v>
      </c>
      <c r="M11" s="100"/>
      <c r="N11" s="100"/>
      <c r="O11" s="100"/>
      <c r="P11" s="23" t="s">
        <v>303</v>
      </c>
      <c r="Q11" s="23" t="s">
        <v>129</v>
      </c>
      <c r="R11" s="53">
        <v>8.11</v>
      </c>
      <c r="S11" s="53">
        <v>8.11</v>
      </c>
      <c r="T11" s="53">
        <v>8.9</v>
      </c>
      <c r="U11" s="58">
        <f>109.68</f>
        <v>109.68</v>
      </c>
    </row>
    <row r="12" spans="1:21" ht="81" customHeight="1" thickTop="1" x14ac:dyDescent="0.2">
      <c r="A12" s="21"/>
      <c r="B12" s="22" t="s">
        <v>47</v>
      </c>
      <c r="C12" s="99" t="s">
        <v>304</v>
      </c>
      <c r="D12" s="99"/>
      <c r="E12" s="99"/>
      <c r="F12" s="99"/>
      <c r="G12" s="99"/>
      <c r="H12" s="99"/>
      <c r="I12" s="99" t="s">
        <v>305</v>
      </c>
      <c r="J12" s="99"/>
      <c r="K12" s="99"/>
      <c r="L12" s="100" t="s">
        <v>306</v>
      </c>
      <c r="M12" s="100"/>
      <c r="N12" s="100"/>
      <c r="O12" s="100"/>
      <c r="P12" s="23" t="s">
        <v>42</v>
      </c>
      <c r="Q12" s="23" t="s">
        <v>129</v>
      </c>
      <c r="R12" s="53">
        <v>77</v>
      </c>
      <c r="S12" s="53">
        <v>77.010000000000005</v>
      </c>
      <c r="T12" s="53">
        <v>108.82</v>
      </c>
      <c r="U12" s="58">
        <f>141.3</f>
        <v>141.30000000000001</v>
      </c>
    </row>
    <row r="13" spans="1:21" ht="75" customHeight="1" thickBot="1" x14ac:dyDescent="0.25">
      <c r="A13" s="21"/>
      <c r="B13" s="24" t="s">
        <v>44</v>
      </c>
      <c r="C13" s="101" t="s">
        <v>44</v>
      </c>
      <c r="D13" s="101"/>
      <c r="E13" s="101"/>
      <c r="F13" s="101"/>
      <c r="G13" s="101"/>
      <c r="H13" s="101"/>
      <c r="I13" s="101" t="s">
        <v>307</v>
      </c>
      <c r="J13" s="101"/>
      <c r="K13" s="101"/>
      <c r="L13" s="102" t="s">
        <v>308</v>
      </c>
      <c r="M13" s="102"/>
      <c r="N13" s="102"/>
      <c r="O13" s="102"/>
      <c r="P13" s="25" t="s">
        <v>167</v>
      </c>
      <c r="Q13" s="25" t="s">
        <v>129</v>
      </c>
      <c r="R13" s="55" t="s">
        <v>110</v>
      </c>
      <c r="S13" s="55">
        <v>6</v>
      </c>
      <c r="T13" s="55">
        <v>6</v>
      </c>
      <c r="U13" s="59">
        <f>100</f>
        <v>100</v>
      </c>
    </row>
    <row r="14" spans="1:21" ht="75" customHeight="1" thickTop="1" x14ac:dyDescent="0.2">
      <c r="A14" s="21"/>
      <c r="B14" s="22" t="s">
        <v>54</v>
      </c>
      <c r="C14" s="99" t="s">
        <v>309</v>
      </c>
      <c r="D14" s="99"/>
      <c r="E14" s="99"/>
      <c r="F14" s="99"/>
      <c r="G14" s="99"/>
      <c r="H14" s="99"/>
      <c r="I14" s="99" t="s">
        <v>310</v>
      </c>
      <c r="J14" s="99"/>
      <c r="K14" s="99"/>
      <c r="L14" s="100" t="s">
        <v>311</v>
      </c>
      <c r="M14" s="100"/>
      <c r="N14" s="100"/>
      <c r="O14" s="100"/>
      <c r="P14" s="23" t="s">
        <v>42</v>
      </c>
      <c r="Q14" s="23" t="s">
        <v>312</v>
      </c>
      <c r="R14" s="53">
        <v>19.62</v>
      </c>
      <c r="S14" s="53">
        <v>13.59</v>
      </c>
      <c r="T14" s="53">
        <v>13.93</v>
      </c>
      <c r="U14" s="58">
        <f>102.5</f>
        <v>102.5</v>
      </c>
    </row>
    <row r="15" spans="1:21" ht="75" customHeight="1" x14ac:dyDescent="0.2">
      <c r="A15" s="21"/>
      <c r="B15" s="24" t="s">
        <v>44</v>
      </c>
      <c r="C15" s="101" t="s">
        <v>44</v>
      </c>
      <c r="D15" s="101"/>
      <c r="E15" s="101"/>
      <c r="F15" s="101"/>
      <c r="G15" s="101"/>
      <c r="H15" s="101"/>
      <c r="I15" s="101" t="s">
        <v>313</v>
      </c>
      <c r="J15" s="101"/>
      <c r="K15" s="101"/>
      <c r="L15" s="102" t="s">
        <v>314</v>
      </c>
      <c r="M15" s="102"/>
      <c r="N15" s="102"/>
      <c r="O15" s="102"/>
      <c r="P15" s="25" t="s">
        <v>42</v>
      </c>
      <c r="Q15" s="25" t="s">
        <v>312</v>
      </c>
      <c r="R15" s="55">
        <v>25</v>
      </c>
      <c r="S15" s="55">
        <v>30</v>
      </c>
      <c r="T15" s="55">
        <v>33.4</v>
      </c>
      <c r="U15" s="59">
        <f>111.33</f>
        <v>111.33</v>
      </c>
    </row>
    <row r="16" spans="1:21" ht="75" customHeight="1" thickBot="1" x14ac:dyDescent="0.25">
      <c r="A16" s="21"/>
      <c r="B16" s="24" t="s">
        <v>44</v>
      </c>
      <c r="C16" s="101" t="s">
        <v>44</v>
      </c>
      <c r="D16" s="101"/>
      <c r="E16" s="101"/>
      <c r="F16" s="101"/>
      <c r="G16" s="101"/>
      <c r="H16" s="101"/>
      <c r="I16" s="101" t="s">
        <v>315</v>
      </c>
      <c r="J16" s="101"/>
      <c r="K16" s="101"/>
      <c r="L16" s="102" t="s">
        <v>316</v>
      </c>
      <c r="M16" s="102"/>
      <c r="N16" s="102"/>
      <c r="O16" s="102"/>
      <c r="P16" s="25" t="s">
        <v>42</v>
      </c>
      <c r="Q16" s="25" t="s">
        <v>312</v>
      </c>
      <c r="R16" s="55" t="s">
        <v>110</v>
      </c>
      <c r="S16" s="55">
        <v>60.01</v>
      </c>
      <c r="T16" s="55">
        <v>71.94</v>
      </c>
      <c r="U16" s="59">
        <f>119.86</f>
        <v>119.86</v>
      </c>
    </row>
    <row r="17" spans="1:22" ht="75" customHeight="1" thickTop="1" x14ac:dyDescent="0.2">
      <c r="A17" s="21"/>
      <c r="B17" s="22" t="s">
        <v>62</v>
      </c>
      <c r="C17" s="99" t="s">
        <v>317</v>
      </c>
      <c r="D17" s="99"/>
      <c r="E17" s="99"/>
      <c r="F17" s="99"/>
      <c r="G17" s="99"/>
      <c r="H17" s="99"/>
      <c r="I17" s="99" t="s">
        <v>318</v>
      </c>
      <c r="J17" s="99"/>
      <c r="K17" s="99"/>
      <c r="L17" s="100" t="s">
        <v>319</v>
      </c>
      <c r="M17" s="100"/>
      <c r="N17" s="100"/>
      <c r="O17" s="100"/>
      <c r="P17" s="23" t="s">
        <v>42</v>
      </c>
      <c r="Q17" s="23" t="s">
        <v>58</v>
      </c>
      <c r="R17" s="53">
        <v>40.01</v>
      </c>
      <c r="S17" s="53">
        <v>30.01</v>
      </c>
      <c r="T17" s="53">
        <v>40.729999999999997</v>
      </c>
      <c r="U17" s="58">
        <f>135.75</f>
        <v>135.75</v>
      </c>
    </row>
    <row r="18" spans="1:22" ht="75" customHeight="1" x14ac:dyDescent="0.2">
      <c r="A18" s="21"/>
      <c r="B18" s="24" t="s">
        <v>44</v>
      </c>
      <c r="C18" s="101" t="s">
        <v>320</v>
      </c>
      <c r="D18" s="101"/>
      <c r="E18" s="101"/>
      <c r="F18" s="101"/>
      <c r="G18" s="101"/>
      <c r="H18" s="101"/>
      <c r="I18" s="101" t="s">
        <v>321</v>
      </c>
      <c r="J18" s="101"/>
      <c r="K18" s="101"/>
      <c r="L18" s="102" t="s">
        <v>322</v>
      </c>
      <c r="M18" s="102"/>
      <c r="N18" s="102"/>
      <c r="O18" s="102"/>
      <c r="P18" s="25" t="s">
        <v>42</v>
      </c>
      <c r="Q18" s="25" t="s">
        <v>58</v>
      </c>
      <c r="R18" s="55">
        <v>80</v>
      </c>
      <c r="S18" s="55">
        <v>80</v>
      </c>
      <c r="T18" s="55">
        <v>93.97</v>
      </c>
      <c r="U18" s="59">
        <f>117.47</f>
        <v>117.47</v>
      </c>
    </row>
    <row r="19" spans="1:22" ht="79.5" customHeight="1" x14ac:dyDescent="0.2">
      <c r="A19" s="21"/>
      <c r="B19" s="24" t="s">
        <v>44</v>
      </c>
      <c r="C19" s="101" t="s">
        <v>323</v>
      </c>
      <c r="D19" s="101"/>
      <c r="E19" s="101"/>
      <c r="F19" s="101"/>
      <c r="G19" s="101"/>
      <c r="H19" s="101"/>
      <c r="I19" s="101" t="s">
        <v>324</v>
      </c>
      <c r="J19" s="101"/>
      <c r="K19" s="101"/>
      <c r="L19" s="102" t="s">
        <v>325</v>
      </c>
      <c r="M19" s="102"/>
      <c r="N19" s="102"/>
      <c r="O19" s="102"/>
      <c r="P19" s="25" t="s">
        <v>42</v>
      </c>
      <c r="Q19" s="25" t="s">
        <v>58</v>
      </c>
      <c r="R19" s="55">
        <v>100</v>
      </c>
      <c r="S19" s="55">
        <v>100</v>
      </c>
      <c r="T19" s="55">
        <v>106.83</v>
      </c>
      <c r="U19" s="59">
        <f>106.83</f>
        <v>106.83</v>
      </c>
    </row>
    <row r="20" spans="1:22" ht="84.75" customHeight="1" thickBot="1" x14ac:dyDescent="0.25">
      <c r="A20" s="21"/>
      <c r="B20" s="24" t="s">
        <v>44</v>
      </c>
      <c r="C20" s="101" t="s">
        <v>326</v>
      </c>
      <c r="D20" s="101"/>
      <c r="E20" s="101"/>
      <c r="F20" s="101"/>
      <c r="G20" s="101"/>
      <c r="H20" s="101"/>
      <c r="I20" s="101" t="s">
        <v>327</v>
      </c>
      <c r="J20" s="101"/>
      <c r="K20" s="101"/>
      <c r="L20" s="102" t="s">
        <v>328</v>
      </c>
      <c r="M20" s="102"/>
      <c r="N20" s="102"/>
      <c r="O20" s="102"/>
      <c r="P20" s="25" t="s">
        <v>42</v>
      </c>
      <c r="Q20" s="25" t="s">
        <v>58</v>
      </c>
      <c r="R20" s="55">
        <v>80.010000000000005</v>
      </c>
      <c r="S20" s="55">
        <v>80.010000000000005</v>
      </c>
      <c r="T20" s="55">
        <v>97</v>
      </c>
      <c r="U20" s="59">
        <f>121.23</f>
        <v>121.23</v>
      </c>
    </row>
    <row r="21" spans="1:22" ht="14.25" customHeight="1" thickTop="1" thickBot="1" x14ac:dyDescent="0.25">
      <c r="B21" s="4" t="s">
        <v>79</v>
      </c>
      <c r="C21" s="5"/>
      <c r="D21" s="5"/>
      <c r="E21" s="5"/>
      <c r="F21" s="5"/>
      <c r="G21" s="5"/>
      <c r="H21" s="6"/>
      <c r="I21" s="6"/>
      <c r="J21" s="6"/>
      <c r="K21" s="6"/>
      <c r="L21" s="6"/>
      <c r="M21" s="6"/>
      <c r="N21" s="6"/>
      <c r="O21" s="6"/>
      <c r="P21" s="6"/>
      <c r="Q21" s="6"/>
      <c r="R21" s="6"/>
      <c r="S21" s="6"/>
      <c r="T21" s="6"/>
      <c r="U21" s="7"/>
      <c r="V21" s="26"/>
    </row>
    <row r="22" spans="1:22" ht="26.25" customHeight="1" thickTop="1" x14ac:dyDescent="0.2">
      <c r="B22" s="27"/>
      <c r="C22" s="28"/>
      <c r="D22" s="28"/>
      <c r="E22" s="28"/>
      <c r="F22" s="28"/>
      <c r="G22" s="28"/>
      <c r="H22" s="29"/>
      <c r="I22" s="29"/>
      <c r="J22" s="29"/>
      <c r="K22" s="29"/>
      <c r="L22" s="29"/>
      <c r="M22" s="29"/>
      <c r="N22" s="29"/>
      <c r="O22" s="29"/>
      <c r="P22" s="29"/>
      <c r="Q22" s="29"/>
      <c r="R22" s="30"/>
      <c r="S22" s="31" t="s">
        <v>33</v>
      </c>
      <c r="T22" s="31" t="s">
        <v>80</v>
      </c>
      <c r="U22" s="18" t="s">
        <v>81</v>
      </c>
    </row>
    <row r="23" spans="1:22" ht="38.25" customHeight="1" thickBot="1" x14ac:dyDescent="0.25">
      <c r="B23" s="32"/>
      <c r="C23" s="33"/>
      <c r="D23" s="33"/>
      <c r="E23" s="33"/>
      <c r="F23" s="33"/>
      <c r="G23" s="33"/>
      <c r="H23" s="34"/>
      <c r="I23" s="34"/>
      <c r="J23" s="34"/>
      <c r="K23" s="34"/>
      <c r="L23" s="34"/>
      <c r="M23" s="34"/>
      <c r="N23" s="34"/>
      <c r="O23" s="34"/>
      <c r="P23" s="34"/>
      <c r="Q23" s="34"/>
      <c r="R23" s="34"/>
      <c r="S23" s="35" t="s">
        <v>82</v>
      </c>
      <c r="T23" s="36" t="s">
        <v>82</v>
      </c>
      <c r="U23" s="36" t="s">
        <v>83</v>
      </c>
    </row>
    <row r="24" spans="1:22" ht="17.25" customHeight="1" thickBot="1" x14ac:dyDescent="0.25">
      <c r="B24" s="106" t="s">
        <v>84</v>
      </c>
      <c r="C24" s="107"/>
      <c r="D24" s="107"/>
      <c r="E24" s="37"/>
      <c r="F24" s="37"/>
      <c r="G24" s="37"/>
      <c r="H24" s="38"/>
      <c r="I24" s="38"/>
      <c r="J24" s="38"/>
      <c r="K24" s="38"/>
      <c r="L24" s="38"/>
      <c r="M24" s="38"/>
      <c r="N24" s="38"/>
      <c r="O24" s="38"/>
      <c r="P24" s="39"/>
      <c r="Q24" s="39"/>
      <c r="R24" s="39"/>
      <c r="S24" s="63">
        <v>1100.0250000000001</v>
      </c>
      <c r="T24" s="63">
        <v>1053.56061346</v>
      </c>
      <c r="U24" s="64">
        <f>+IF(ISERR(T24/S24*100),"N/A",ROUND(T24/S24*100,1))</f>
        <v>95.8</v>
      </c>
    </row>
    <row r="25" spans="1:22" ht="19.5" customHeight="1" thickBot="1" x14ac:dyDescent="0.25">
      <c r="B25" s="108" t="s">
        <v>85</v>
      </c>
      <c r="C25" s="109"/>
      <c r="D25" s="109"/>
      <c r="E25" s="40"/>
      <c r="F25" s="40"/>
      <c r="G25" s="40"/>
      <c r="H25" s="41"/>
      <c r="I25" s="41"/>
      <c r="J25" s="41"/>
      <c r="K25" s="41"/>
      <c r="L25" s="41"/>
      <c r="M25" s="41"/>
      <c r="N25" s="41"/>
      <c r="O25" s="41"/>
      <c r="P25" s="42"/>
      <c r="Q25" s="42"/>
      <c r="R25" s="42"/>
      <c r="S25" s="63">
        <v>1053.56061346</v>
      </c>
      <c r="T25" s="63">
        <v>1053.56061346</v>
      </c>
      <c r="U25" s="64">
        <f>+IF(ISERR(T25/S25*100),"N/A",ROUND(T25/S25*100,1))</f>
        <v>100</v>
      </c>
    </row>
    <row r="26" spans="1:22" ht="14.85" customHeight="1" thickTop="1" thickBot="1" x14ac:dyDescent="0.25">
      <c r="B26" s="4" t="s">
        <v>86</v>
      </c>
      <c r="C26" s="5"/>
      <c r="D26" s="5"/>
      <c r="E26" s="5"/>
      <c r="F26" s="5"/>
      <c r="G26" s="5"/>
      <c r="H26" s="6"/>
      <c r="I26" s="6"/>
      <c r="J26" s="6"/>
      <c r="K26" s="6"/>
      <c r="L26" s="6"/>
      <c r="M26" s="6"/>
      <c r="N26" s="6"/>
      <c r="O26" s="6"/>
      <c r="P26" s="6"/>
      <c r="Q26" s="6"/>
      <c r="R26" s="6"/>
      <c r="S26" s="6"/>
      <c r="T26" s="6"/>
      <c r="U26" s="7"/>
    </row>
    <row r="27" spans="1:22" ht="44.25" customHeight="1" thickTop="1" x14ac:dyDescent="0.2">
      <c r="B27" s="110" t="s">
        <v>87</v>
      </c>
      <c r="C27" s="111"/>
      <c r="D27" s="111"/>
      <c r="E27" s="111"/>
      <c r="F27" s="111"/>
      <c r="G27" s="111"/>
      <c r="H27" s="111"/>
      <c r="I27" s="111"/>
      <c r="J27" s="111"/>
      <c r="K27" s="111"/>
      <c r="L27" s="111"/>
      <c r="M27" s="111"/>
      <c r="N27" s="111"/>
      <c r="O27" s="111"/>
      <c r="P27" s="111"/>
      <c r="Q27" s="111"/>
      <c r="R27" s="111"/>
      <c r="S27" s="111"/>
      <c r="T27" s="111"/>
      <c r="U27" s="112"/>
    </row>
    <row r="28" spans="1:22" ht="196.5" customHeight="1" x14ac:dyDescent="0.2">
      <c r="B28" s="103" t="s">
        <v>329</v>
      </c>
      <c r="C28" s="104"/>
      <c r="D28" s="104"/>
      <c r="E28" s="104"/>
      <c r="F28" s="104"/>
      <c r="G28" s="104"/>
      <c r="H28" s="104"/>
      <c r="I28" s="104"/>
      <c r="J28" s="104"/>
      <c r="K28" s="104"/>
      <c r="L28" s="104"/>
      <c r="M28" s="104"/>
      <c r="N28" s="104"/>
      <c r="O28" s="104"/>
      <c r="P28" s="104"/>
      <c r="Q28" s="104"/>
      <c r="R28" s="104"/>
      <c r="S28" s="104"/>
      <c r="T28" s="104"/>
      <c r="U28" s="105"/>
    </row>
    <row r="29" spans="1:22" ht="146.1" customHeight="1" x14ac:dyDescent="0.2">
      <c r="B29" s="103" t="s">
        <v>330</v>
      </c>
      <c r="C29" s="104"/>
      <c r="D29" s="104"/>
      <c r="E29" s="104"/>
      <c r="F29" s="104"/>
      <c r="G29" s="104"/>
      <c r="H29" s="104"/>
      <c r="I29" s="104"/>
      <c r="J29" s="104"/>
      <c r="K29" s="104"/>
      <c r="L29" s="104"/>
      <c r="M29" s="104"/>
      <c r="N29" s="104"/>
      <c r="O29" s="104"/>
      <c r="P29" s="104"/>
      <c r="Q29" s="104"/>
      <c r="R29" s="104"/>
      <c r="S29" s="104"/>
      <c r="T29" s="104"/>
      <c r="U29" s="105"/>
    </row>
    <row r="30" spans="1:22" ht="86.25" customHeight="1" x14ac:dyDescent="0.2">
      <c r="B30" s="103" t="s">
        <v>331</v>
      </c>
      <c r="C30" s="104"/>
      <c r="D30" s="104"/>
      <c r="E30" s="104"/>
      <c r="F30" s="104"/>
      <c r="G30" s="104"/>
      <c r="H30" s="104"/>
      <c r="I30" s="104"/>
      <c r="J30" s="104"/>
      <c r="K30" s="104"/>
      <c r="L30" s="104"/>
      <c r="M30" s="104"/>
      <c r="N30" s="104"/>
      <c r="O30" s="104"/>
      <c r="P30" s="104"/>
      <c r="Q30" s="104"/>
      <c r="R30" s="104"/>
      <c r="S30" s="104"/>
      <c r="T30" s="104"/>
      <c r="U30" s="105"/>
    </row>
    <row r="31" spans="1:22" ht="87" customHeight="1" x14ac:dyDescent="0.2">
      <c r="B31" s="103" t="s">
        <v>332</v>
      </c>
      <c r="C31" s="104"/>
      <c r="D31" s="104"/>
      <c r="E31" s="104"/>
      <c r="F31" s="104"/>
      <c r="G31" s="104"/>
      <c r="H31" s="104"/>
      <c r="I31" s="104"/>
      <c r="J31" s="104"/>
      <c r="K31" s="104"/>
      <c r="L31" s="104"/>
      <c r="M31" s="104"/>
      <c r="N31" s="104"/>
      <c r="O31" s="104"/>
      <c r="P31" s="104"/>
      <c r="Q31" s="104"/>
      <c r="R31" s="104"/>
      <c r="S31" s="104"/>
      <c r="T31" s="104"/>
      <c r="U31" s="105"/>
    </row>
    <row r="32" spans="1:22" ht="79.5" customHeight="1" x14ac:dyDescent="0.2">
      <c r="B32" s="103" t="s">
        <v>333</v>
      </c>
      <c r="C32" s="104"/>
      <c r="D32" s="104"/>
      <c r="E32" s="104"/>
      <c r="F32" s="104"/>
      <c r="G32" s="104"/>
      <c r="H32" s="104"/>
      <c r="I32" s="104"/>
      <c r="J32" s="104"/>
      <c r="K32" s="104"/>
      <c r="L32" s="104"/>
      <c r="M32" s="104"/>
      <c r="N32" s="104"/>
      <c r="O32" s="104"/>
      <c r="P32" s="104"/>
      <c r="Q32" s="104"/>
      <c r="R32" s="104"/>
      <c r="S32" s="104"/>
      <c r="T32" s="104"/>
      <c r="U32" s="105"/>
    </row>
    <row r="33" spans="2:21" ht="98.25" customHeight="1" x14ac:dyDescent="0.2">
      <c r="B33" s="103" t="s">
        <v>334</v>
      </c>
      <c r="C33" s="104"/>
      <c r="D33" s="104"/>
      <c r="E33" s="104"/>
      <c r="F33" s="104"/>
      <c r="G33" s="104"/>
      <c r="H33" s="104"/>
      <c r="I33" s="104"/>
      <c r="J33" s="104"/>
      <c r="K33" s="104"/>
      <c r="L33" s="104"/>
      <c r="M33" s="104"/>
      <c r="N33" s="104"/>
      <c r="O33" s="104"/>
      <c r="P33" s="104"/>
      <c r="Q33" s="104"/>
      <c r="R33" s="104"/>
      <c r="S33" s="104"/>
      <c r="T33" s="104"/>
      <c r="U33" s="105"/>
    </row>
    <row r="34" spans="2:21" ht="141.6" customHeight="1" x14ac:dyDescent="0.2">
      <c r="B34" s="103" t="s">
        <v>335</v>
      </c>
      <c r="C34" s="104"/>
      <c r="D34" s="104"/>
      <c r="E34" s="104"/>
      <c r="F34" s="104"/>
      <c r="G34" s="104"/>
      <c r="H34" s="104"/>
      <c r="I34" s="104"/>
      <c r="J34" s="104"/>
      <c r="K34" s="104"/>
      <c r="L34" s="104"/>
      <c r="M34" s="104"/>
      <c r="N34" s="104"/>
      <c r="O34" s="104"/>
      <c r="P34" s="104"/>
      <c r="Q34" s="104"/>
      <c r="R34" s="104"/>
      <c r="S34" s="104"/>
      <c r="T34" s="104"/>
      <c r="U34" s="105"/>
    </row>
    <row r="35" spans="2:21" ht="103.5" customHeight="1" x14ac:dyDescent="0.2">
      <c r="B35" s="103" t="s">
        <v>336</v>
      </c>
      <c r="C35" s="104"/>
      <c r="D35" s="104"/>
      <c r="E35" s="104"/>
      <c r="F35" s="104"/>
      <c r="G35" s="104"/>
      <c r="H35" s="104"/>
      <c r="I35" s="104"/>
      <c r="J35" s="104"/>
      <c r="K35" s="104"/>
      <c r="L35" s="104"/>
      <c r="M35" s="104"/>
      <c r="N35" s="104"/>
      <c r="O35" s="104"/>
      <c r="P35" s="104"/>
      <c r="Q35" s="104"/>
      <c r="R35" s="104"/>
      <c r="S35" s="104"/>
      <c r="T35" s="104"/>
      <c r="U35" s="105"/>
    </row>
    <row r="36" spans="2:21" ht="81" customHeight="1" x14ac:dyDescent="0.2">
      <c r="B36" s="103" t="s">
        <v>337</v>
      </c>
      <c r="C36" s="104"/>
      <c r="D36" s="104"/>
      <c r="E36" s="104"/>
      <c r="F36" s="104"/>
      <c r="G36" s="104"/>
      <c r="H36" s="104"/>
      <c r="I36" s="104"/>
      <c r="J36" s="104"/>
      <c r="K36" s="104"/>
      <c r="L36" s="104"/>
      <c r="M36" s="104"/>
      <c r="N36" s="104"/>
      <c r="O36" s="104"/>
      <c r="P36" s="104"/>
      <c r="Q36" s="104"/>
      <c r="R36" s="104"/>
      <c r="S36" s="104"/>
      <c r="T36" s="104"/>
      <c r="U36" s="105"/>
    </row>
    <row r="37" spans="2:21" ht="127.35" customHeight="1" thickBot="1" x14ac:dyDescent="0.25">
      <c r="B37" s="113" t="s">
        <v>338</v>
      </c>
      <c r="C37" s="114"/>
      <c r="D37" s="114"/>
      <c r="E37" s="114"/>
      <c r="F37" s="114"/>
      <c r="G37" s="114"/>
      <c r="H37" s="114"/>
      <c r="I37" s="114"/>
      <c r="J37" s="114"/>
      <c r="K37" s="114"/>
      <c r="L37" s="114"/>
      <c r="M37" s="114"/>
      <c r="N37" s="114"/>
      <c r="O37" s="114"/>
      <c r="P37" s="114"/>
      <c r="Q37" s="114"/>
      <c r="R37" s="114"/>
      <c r="S37" s="114"/>
      <c r="T37" s="114"/>
      <c r="U37" s="115"/>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8"/>
  <sheetViews>
    <sheetView topLeftCell="N30" zoomScale="80" zoomScaleNormal="80" zoomScaleSheetLayoutView="80" workbookViewId="0">
      <selection activeCell="S35" sqref="S35:U36"/>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339</v>
      </c>
      <c r="D4" s="73" t="s">
        <v>340</v>
      </c>
      <c r="E4" s="73"/>
      <c r="F4" s="73"/>
      <c r="G4" s="73"/>
      <c r="H4" s="73"/>
      <c r="I4" s="10"/>
      <c r="J4" s="11" t="s">
        <v>9</v>
      </c>
      <c r="K4" s="12" t="s">
        <v>10</v>
      </c>
      <c r="L4" s="74" t="s">
        <v>11</v>
      </c>
      <c r="M4" s="74"/>
      <c r="N4" s="74"/>
      <c r="O4" s="74"/>
      <c r="P4" s="11" t="s">
        <v>12</v>
      </c>
      <c r="Q4" s="74" t="s">
        <v>212</v>
      </c>
      <c r="R4" s="74"/>
      <c r="S4" s="11" t="s">
        <v>14</v>
      </c>
      <c r="T4" s="74"/>
      <c r="U4" s="75"/>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37.5" customHeight="1" thickBot="1" x14ac:dyDescent="0.25">
      <c r="B6" s="13" t="s">
        <v>16</v>
      </c>
      <c r="C6" s="76" t="s">
        <v>102</v>
      </c>
      <c r="D6" s="76"/>
      <c r="E6" s="76"/>
      <c r="F6" s="76"/>
      <c r="G6" s="76"/>
      <c r="H6" s="14"/>
      <c r="I6" s="14"/>
      <c r="J6" s="14" t="s">
        <v>18</v>
      </c>
      <c r="K6" s="76" t="s">
        <v>103</v>
      </c>
      <c r="L6" s="76"/>
      <c r="M6" s="76"/>
      <c r="N6" s="15"/>
      <c r="O6" s="16" t="s">
        <v>20</v>
      </c>
      <c r="P6" s="76" t="s">
        <v>213</v>
      </c>
      <c r="Q6" s="76"/>
      <c r="R6" s="17"/>
      <c r="S6" s="16" t="s">
        <v>22</v>
      </c>
      <c r="T6" s="76" t="s">
        <v>214</v>
      </c>
      <c r="U6" s="77"/>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142.5" customHeight="1" thickTop="1" thickBot="1" x14ac:dyDescent="0.25">
      <c r="A11" s="21"/>
      <c r="B11" s="22" t="s">
        <v>38</v>
      </c>
      <c r="C11" s="99" t="s">
        <v>341</v>
      </c>
      <c r="D11" s="99"/>
      <c r="E11" s="99"/>
      <c r="F11" s="99"/>
      <c r="G11" s="99"/>
      <c r="H11" s="99"/>
      <c r="I11" s="99" t="s">
        <v>216</v>
      </c>
      <c r="J11" s="99"/>
      <c r="K11" s="99"/>
      <c r="L11" s="100" t="s">
        <v>217</v>
      </c>
      <c r="M11" s="100"/>
      <c r="N11" s="100"/>
      <c r="O11" s="100"/>
      <c r="P11" s="23" t="s">
        <v>218</v>
      </c>
      <c r="Q11" s="23" t="s">
        <v>219</v>
      </c>
      <c r="R11" s="53" t="s">
        <v>110</v>
      </c>
      <c r="S11" s="53" t="s">
        <v>110</v>
      </c>
      <c r="T11" s="53" t="s">
        <v>110</v>
      </c>
      <c r="U11" s="58" t="str">
        <f>"N/A"</f>
        <v>N/A</v>
      </c>
    </row>
    <row r="12" spans="1:21" ht="132.75" customHeight="1" thickTop="1" x14ac:dyDescent="0.2">
      <c r="A12" s="21"/>
      <c r="B12" s="22" t="s">
        <v>47</v>
      </c>
      <c r="C12" s="99" t="s">
        <v>342</v>
      </c>
      <c r="D12" s="99"/>
      <c r="E12" s="99"/>
      <c r="F12" s="99"/>
      <c r="G12" s="99"/>
      <c r="H12" s="99"/>
      <c r="I12" s="99" t="s">
        <v>343</v>
      </c>
      <c r="J12" s="99"/>
      <c r="K12" s="99"/>
      <c r="L12" s="100" t="s">
        <v>344</v>
      </c>
      <c r="M12" s="100"/>
      <c r="N12" s="100"/>
      <c r="O12" s="100"/>
      <c r="P12" s="23" t="s">
        <v>42</v>
      </c>
      <c r="Q12" s="23" t="s">
        <v>129</v>
      </c>
      <c r="R12" s="53">
        <v>32.5</v>
      </c>
      <c r="S12" s="53">
        <v>32.5</v>
      </c>
      <c r="T12" s="53">
        <v>38.43</v>
      </c>
      <c r="U12" s="58">
        <f>118.24</f>
        <v>118.24</v>
      </c>
    </row>
    <row r="13" spans="1:21" ht="75" customHeight="1" thickBot="1" x14ac:dyDescent="0.25">
      <c r="A13" s="21"/>
      <c r="B13" s="24" t="s">
        <v>44</v>
      </c>
      <c r="C13" s="101" t="s">
        <v>44</v>
      </c>
      <c r="D13" s="101"/>
      <c r="E13" s="101"/>
      <c r="F13" s="101"/>
      <c r="G13" s="101"/>
      <c r="H13" s="101"/>
      <c r="I13" s="101" t="s">
        <v>221</v>
      </c>
      <c r="J13" s="101"/>
      <c r="K13" s="101"/>
      <c r="L13" s="102" t="s">
        <v>222</v>
      </c>
      <c r="M13" s="102"/>
      <c r="N13" s="102"/>
      <c r="O13" s="102"/>
      <c r="P13" s="25" t="s">
        <v>345</v>
      </c>
      <c r="Q13" s="25" t="s">
        <v>129</v>
      </c>
      <c r="R13" s="55" t="s">
        <v>110</v>
      </c>
      <c r="S13" s="55">
        <v>2.4500000000000002</v>
      </c>
      <c r="T13" s="55">
        <v>1.9</v>
      </c>
      <c r="U13" s="59">
        <f>77.55</f>
        <v>77.55</v>
      </c>
    </row>
    <row r="14" spans="1:21" ht="75" customHeight="1" thickTop="1" x14ac:dyDescent="0.2">
      <c r="A14" s="21"/>
      <c r="B14" s="22" t="s">
        <v>54</v>
      </c>
      <c r="C14" s="99" t="s">
        <v>346</v>
      </c>
      <c r="D14" s="99"/>
      <c r="E14" s="99"/>
      <c r="F14" s="99"/>
      <c r="G14" s="99"/>
      <c r="H14" s="99"/>
      <c r="I14" s="99" t="s">
        <v>347</v>
      </c>
      <c r="J14" s="99"/>
      <c r="K14" s="99"/>
      <c r="L14" s="100" t="s">
        <v>243</v>
      </c>
      <c r="M14" s="100"/>
      <c r="N14" s="100"/>
      <c r="O14" s="100"/>
      <c r="P14" s="23" t="s">
        <v>42</v>
      </c>
      <c r="Q14" s="23" t="s">
        <v>43</v>
      </c>
      <c r="R14" s="53">
        <v>97.36</v>
      </c>
      <c r="S14" s="53">
        <v>97.36</v>
      </c>
      <c r="T14" s="53">
        <v>96.26</v>
      </c>
      <c r="U14" s="58">
        <f>98.88</f>
        <v>98.88</v>
      </c>
    </row>
    <row r="15" spans="1:21" ht="75" customHeight="1" x14ac:dyDescent="0.2">
      <c r="A15" s="21"/>
      <c r="B15" s="24" t="s">
        <v>44</v>
      </c>
      <c r="C15" s="101" t="s">
        <v>44</v>
      </c>
      <c r="D15" s="101"/>
      <c r="E15" s="101"/>
      <c r="F15" s="101"/>
      <c r="G15" s="101"/>
      <c r="H15" s="101"/>
      <c r="I15" s="101" t="s">
        <v>348</v>
      </c>
      <c r="J15" s="101"/>
      <c r="K15" s="101"/>
      <c r="L15" s="102" t="s">
        <v>349</v>
      </c>
      <c r="M15" s="102"/>
      <c r="N15" s="102"/>
      <c r="O15" s="102"/>
      <c r="P15" s="25" t="s">
        <v>125</v>
      </c>
      <c r="Q15" s="25" t="s">
        <v>43</v>
      </c>
      <c r="R15" s="55" t="s">
        <v>110</v>
      </c>
      <c r="S15" s="55">
        <v>37482</v>
      </c>
      <c r="T15" s="55">
        <v>37061</v>
      </c>
      <c r="U15" s="59">
        <f>98.9</f>
        <v>98.9</v>
      </c>
    </row>
    <row r="16" spans="1:21" ht="119.25" customHeight="1" x14ac:dyDescent="0.2">
      <c r="A16" s="21"/>
      <c r="B16" s="24" t="s">
        <v>44</v>
      </c>
      <c r="C16" s="101" t="s">
        <v>44</v>
      </c>
      <c r="D16" s="101"/>
      <c r="E16" s="101"/>
      <c r="F16" s="101"/>
      <c r="G16" s="101"/>
      <c r="H16" s="101"/>
      <c r="I16" s="101" t="s">
        <v>350</v>
      </c>
      <c r="J16" s="101"/>
      <c r="K16" s="101"/>
      <c r="L16" s="102" t="s">
        <v>351</v>
      </c>
      <c r="M16" s="102"/>
      <c r="N16" s="102"/>
      <c r="O16" s="102"/>
      <c r="P16" s="25" t="s">
        <v>42</v>
      </c>
      <c r="Q16" s="25" t="s">
        <v>43</v>
      </c>
      <c r="R16" s="55">
        <v>5.82</v>
      </c>
      <c r="S16" s="55">
        <v>5.82</v>
      </c>
      <c r="T16" s="55">
        <v>5.76</v>
      </c>
      <c r="U16" s="59">
        <f>98.96</f>
        <v>98.96</v>
      </c>
    </row>
    <row r="17" spans="1:22" ht="75" customHeight="1" x14ac:dyDescent="0.2">
      <c r="A17" s="21"/>
      <c r="B17" s="24" t="s">
        <v>44</v>
      </c>
      <c r="C17" s="101" t="s">
        <v>44</v>
      </c>
      <c r="D17" s="101"/>
      <c r="E17" s="101"/>
      <c r="F17" s="101"/>
      <c r="G17" s="101"/>
      <c r="H17" s="101"/>
      <c r="I17" s="101" t="s">
        <v>352</v>
      </c>
      <c r="J17" s="101"/>
      <c r="K17" s="101"/>
      <c r="L17" s="102" t="s">
        <v>353</v>
      </c>
      <c r="M17" s="102"/>
      <c r="N17" s="102"/>
      <c r="O17" s="102"/>
      <c r="P17" s="25" t="s">
        <v>42</v>
      </c>
      <c r="Q17" s="25" t="s">
        <v>58</v>
      </c>
      <c r="R17" s="55">
        <v>0.19</v>
      </c>
      <c r="S17" s="55">
        <v>0.19</v>
      </c>
      <c r="T17" s="55">
        <v>0.21</v>
      </c>
      <c r="U17" s="59">
        <f>108.43</f>
        <v>108.43</v>
      </c>
    </row>
    <row r="18" spans="1:22" ht="108" customHeight="1" x14ac:dyDescent="0.2">
      <c r="A18" s="21"/>
      <c r="B18" s="24" t="s">
        <v>44</v>
      </c>
      <c r="C18" s="101" t="s">
        <v>44</v>
      </c>
      <c r="D18" s="101"/>
      <c r="E18" s="101"/>
      <c r="F18" s="101"/>
      <c r="G18" s="101"/>
      <c r="H18" s="101"/>
      <c r="I18" s="101" t="s">
        <v>354</v>
      </c>
      <c r="J18" s="101"/>
      <c r="K18" s="101"/>
      <c r="L18" s="102" t="s">
        <v>355</v>
      </c>
      <c r="M18" s="102"/>
      <c r="N18" s="102"/>
      <c r="O18" s="102"/>
      <c r="P18" s="25" t="s">
        <v>42</v>
      </c>
      <c r="Q18" s="25" t="s">
        <v>58</v>
      </c>
      <c r="R18" s="55">
        <v>3.81</v>
      </c>
      <c r="S18" s="55">
        <v>3.81</v>
      </c>
      <c r="T18" s="55">
        <v>4.05</v>
      </c>
      <c r="U18" s="59">
        <f>106.3</f>
        <v>106.3</v>
      </c>
    </row>
    <row r="19" spans="1:22" ht="111" customHeight="1" x14ac:dyDescent="0.2">
      <c r="A19" s="21"/>
      <c r="B19" s="24" t="s">
        <v>44</v>
      </c>
      <c r="C19" s="101" t="s">
        <v>44</v>
      </c>
      <c r="D19" s="101"/>
      <c r="E19" s="101"/>
      <c r="F19" s="101"/>
      <c r="G19" s="101"/>
      <c r="H19" s="101"/>
      <c r="I19" s="101" t="s">
        <v>356</v>
      </c>
      <c r="J19" s="101"/>
      <c r="K19" s="101"/>
      <c r="L19" s="102" t="s">
        <v>357</v>
      </c>
      <c r="M19" s="102"/>
      <c r="N19" s="102"/>
      <c r="O19" s="102"/>
      <c r="P19" s="25" t="s">
        <v>42</v>
      </c>
      <c r="Q19" s="25" t="s">
        <v>58</v>
      </c>
      <c r="R19" s="55">
        <v>2.2599999999999998</v>
      </c>
      <c r="S19" s="55">
        <v>2.2599999999999998</v>
      </c>
      <c r="T19" s="55">
        <v>3.44</v>
      </c>
      <c r="U19" s="59">
        <f>152.21</f>
        <v>152.21</v>
      </c>
    </row>
    <row r="20" spans="1:22" ht="75" customHeight="1" x14ac:dyDescent="0.2">
      <c r="A20" s="21"/>
      <c r="B20" s="24" t="s">
        <v>44</v>
      </c>
      <c r="C20" s="101" t="s">
        <v>358</v>
      </c>
      <c r="D20" s="101"/>
      <c r="E20" s="101"/>
      <c r="F20" s="101"/>
      <c r="G20" s="101"/>
      <c r="H20" s="101"/>
      <c r="I20" s="101" t="s">
        <v>359</v>
      </c>
      <c r="J20" s="101"/>
      <c r="K20" s="101"/>
      <c r="L20" s="102" t="s">
        <v>360</v>
      </c>
      <c r="M20" s="102"/>
      <c r="N20" s="102"/>
      <c r="O20" s="102"/>
      <c r="P20" s="25" t="s">
        <v>42</v>
      </c>
      <c r="Q20" s="25" t="s">
        <v>43</v>
      </c>
      <c r="R20" s="55">
        <v>2.64</v>
      </c>
      <c r="S20" s="55">
        <v>2.64</v>
      </c>
      <c r="T20" s="55">
        <v>13.21</v>
      </c>
      <c r="U20" s="59">
        <f>500.37</f>
        <v>500.37</v>
      </c>
    </row>
    <row r="21" spans="1:22" ht="75" customHeight="1" x14ac:dyDescent="0.2">
      <c r="A21" s="21"/>
      <c r="B21" s="24" t="s">
        <v>44</v>
      </c>
      <c r="C21" s="101" t="s">
        <v>44</v>
      </c>
      <c r="D21" s="101"/>
      <c r="E21" s="101"/>
      <c r="F21" s="101"/>
      <c r="G21" s="101"/>
      <c r="H21" s="101"/>
      <c r="I21" s="101" t="s">
        <v>361</v>
      </c>
      <c r="J21" s="101"/>
      <c r="K21" s="101"/>
      <c r="L21" s="102" t="s">
        <v>362</v>
      </c>
      <c r="M21" s="102"/>
      <c r="N21" s="102"/>
      <c r="O21" s="102"/>
      <c r="P21" s="25" t="s">
        <v>125</v>
      </c>
      <c r="Q21" s="25" t="s">
        <v>43</v>
      </c>
      <c r="R21" s="55" t="s">
        <v>110</v>
      </c>
      <c r="S21" s="55">
        <v>1018</v>
      </c>
      <c r="T21" s="55">
        <v>5087</v>
      </c>
      <c r="U21" s="59">
        <f>499.7</f>
        <v>499.7</v>
      </c>
    </row>
    <row r="22" spans="1:22" ht="111.75" customHeight="1" thickBot="1" x14ac:dyDescent="0.25">
      <c r="A22" s="21"/>
      <c r="B22" s="24" t="s">
        <v>44</v>
      </c>
      <c r="C22" s="101" t="s">
        <v>44</v>
      </c>
      <c r="D22" s="101"/>
      <c r="E22" s="101"/>
      <c r="F22" s="101"/>
      <c r="G22" s="101"/>
      <c r="H22" s="101"/>
      <c r="I22" s="101" t="s">
        <v>363</v>
      </c>
      <c r="J22" s="101"/>
      <c r="K22" s="101"/>
      <c r="L22" s="102" t="s">
        <v>364</v>
      </c>
      <c r="M22" s="102"/>
      <c r="N22" s="102"/>
      <c r="O22" s="102"/>
      <c r="P22" s="25" t="s">
        <v>42</v>
      </c>
      <c r="Q22" s="25" t="s">
        <v>43</v>
      </c>
      <c r="R22" s="55">
        <v>3.33</v>
      </c>
      <c r="S22" s="55">
        <v>3.33</v>
      </c>
      <c r="T22" s="55">
        <v>16.62</v>
      </c>
      <c r="U22" s="59">
        <f>499.71</f>
        <v>499.71</v>
      </c>
    </row>
    <row r="23" spans="1:22" ht="75" customHeight="1" thickTop="1" x14ac:dyDescent="0.2">
      <c r="A23" s="21"/>
      <c r="B23" s="22" t="s">
        <v>62</v>
      </c>
      <c r="C23" s="99" t="s">
        <v>365</v>
      </c>
      <c r="D23" s="99"/>
      <c r="E23" s="99"/>
      <c r="F23" s="99"/>
      <c r="G23" s="99"/>
      <c r="H23" s="99"/>
      <c r="I23" s="99" t="s">
        <v>366</v>
      </c>
      <c r="J23" s="99"/>
      <c r="K23" s="99"/>
      <c r="L23" s="100" t="s">
        <v>367</v>
      </c>
      <c r="M23" s="100"/>
      <c r="N23" s="100"/>
      <c r="O23" s="100"/>
      <c r="P23" s="23" t="s">
        <v>42</v>
      </c>
      <c r="Q23" s="23" t="s">
        <v>75</v>
      </c>
      <c r="R23" s="53">
        <v>7</v>
      </c>
      <c r="S23" s="53">
        <v>7</v>
      </c>
      <c r="T23" s="53">
        <v>1.27</v>
      </c>
      <c r="U23" s="58">
        <f>18.14</f>
        <v>18.14</v>
      </c>
    </row>
    <row r="24" spans="1:22" ht="75" customHeight="1" x14ac:dyDescent="0.2">
      <c r="A24" s="21"/>
      <c r="B24" s="24" t="s">
        <v>44</v>
      </c>
      <c r="C24" s="101" t="s">
        <v>368</v>
      </c>
      <c r="D24" s="101"/>
      <c r="E24" s="101"/>
      <c r="F24" s="101"/>
      <c r="G24" s="101"/>
      <c r="H24" s="101"/>
      <c r="I24" s="101" t="s">
        <v>245</v>
      </c>
      <c r="J24" s="101"/>
      <c r="K24" s="101"/>
      <c r="L24" s="102" t="s">
        <v>369</v>
      </c>
      <c r="M24" s="102"/>
      <c r="N24" s="102"/>
      <c r="O24" s="102"/>
      <c r="P24" s="25" t="s">
        <v>42</v>
      </c>
      <c r="Q24" s="25" t="s">
        <v>75</v>
      </c>
      <c r="R24" s="55">
        <v>65</v>
      </c>
      <c r="S24" s="55">
        <v>65</v>
      </c>
      <c r="T24" s="55">
        <v>65</v>
      </c>
      <c r="U24" s="59">
        <f>100</f>
        <v>100</v>
      </c>
    </row>
    <row r="25" spans="1:22" ht="75" customHeight="1" x14ac:dyDescent="0.2">
      <c r="A25" s="21"/>
      <c r="B25" s="24" t="s">
        <v>44</v>
      </c>
      <c r="C25" s="101" t="s">
        <v>370</v>
      </c>
      <c r="D25" s="101"/>
      <c r="E25" s="101"/>
      <c r="F25" s="101"/>
      <c r="G25" s="101"/>
      <c r="H25" s="101"/>
      <c r="I25" s="101" t="s">
        <v>371</v>
      </c>
      <c r="J25" s="101"/>
      <c r="K25" s="101"/>
      <c r="L25" s="102" t="s">
        <v>372</v>
      </c>
      <c r="M25" s="102"/>
      <c r="N25" s="102"/>
      <c r="O25" s="102"/>
      <c r="P25" s="25" t="s">
        <v>42</v>
      </c>
      <c r="Q25" s="25" t="s">
        <v>176</v>
      </c>
      <c r="R25" s="55">
        <v>100</v>
      </c>
      <c r="S25" s="55">
        <v>100</v>
      </c>
      <c r="T25" s="55">
        <v>100</v>
      </c>
      <c r="U25" s="59">
        <f>100</f>
        <v>100</v>
      </c>
    </row>
    <row r="26" spans="1:22" ht="75" customHeight="1" x14ac:dyDescent="0.2">
      <c r="A26" s="21"/>
      <c r="B26" s="24" t="s">
        <v>44</v>
      </c>
      <c r="C26" s="101" t="s">
        <v>373</v>
      </c>
      <c r="D26" s="101"/>
      <c r="E26" s="101"/>
      <c r="F26" s="101"/>
      <c r="G26" s="101"/>
      <c r="H26" s="101"/>
      <c r="I26" s="101" t="s">
        <v>265</v>
      </c>
      <c r="J26" s="101"/>
      <c r="K26" s="101"/>
      <c r="L26" s="102" t="s">
        <v>374</v>
      </c>
      <c r="M26" s="102"/>
      <c r="N26" s="102"/>
      <c r="O26" s="102"/>
      <c r="P26" s="25" t="s">
        <v>42</v>
      </c>
      <c r="Q26" s="25" t="s">
        <v>75</v>
      </c>
      <c r="R26" s="55">
        <v>100</v>
      </c>
      <c r="S26" s="55">
        <v>100</v>
      </c>
      <c r="T26" s="55">
        <v>109.48</v>
      </c>
      <c r="U26" s="59">
        <f>109.48</f>
        <v>109.48</v>
      </c>
    </row>
    <row r="27" spans="1:22" ht="75" customHeight="1" x14ac:dyDescent="0.2">
      <c r="A27" s="21"/>
      <c r="B27" s="24" t="s">
        <v>44</v>
      </c>
      <c r="C27" s="101" t="s">
        <v>375</v>
      </c>
      <c r="D27" s="101"/>
      <c r="E27" s="101"/>
      <c r="F27" s="101"/>
      <c r="G27" s="101"/>
      <c r="H27" s="101"/>
      <c r="I27" s="101" t="s">
        <v>376</v>
      </c>
      <c r="J27" s="101"/>
      <c r="K27" s="101"/>
      <c r="L27" s="102" t="s">
        <v>377</v>
      </c>
      <c r="M27" s="102"/>
      <c r="N27" s="102"/>
      <c r="O27" s="102"/>
      <c r="P27" s="25" t="s">
        <v>167</v>
      </c>
      <c r="Q27" s="25" t="s">
        <v>75</v>
      </c>
      <c r="R27" s="55" t="s">
        <v>110</v>
      </c>
      <c r="S27" s="55">
        <v>34</v>
      </c>
      <c r="T27" s="55">
        <v>13.11</v>
      </c>
      <c r="U27" s="59">
        <f>38.55</f>
        <v>38.549999999999997</v>
      </c>
    </row>
    <row r="28" spans="1:22" ht="75" customHeight="1" x14ac:dyDescent="0.2">
      <c r="A28" s="21"/>
      <c r="B28" s="24" t="s">
        <v>44</v>
      </c>
      <c r="C28" s="101" t="s">
        <v>378</v>
      </c>
      <c r="D28" s="101"/>
      <c r="E28" s="101"/>
      <c r="F28" s="101"/>
      <c r="G28" s="101"/>
      <c r="H28" s="101"/>
      <c r="I28" s="101" t="s">
        <v>248</v>
      </c>
      <c r="J28" s="101"/>
      <c r="K28" s="101"/>
      <c r="L28" s="102" t="s">
        <v>249</v>
      </c>
      <c r="M28" s="102"/>
      <c r="N28" s="102"/>
      <c r="O28" s="102"/>
      <c r="P28" s="25" t="s">
        <v>250</v>
      </c>
      <c r="Q28" s="25" t="s">
        <v>75</v>
      </c>
      <c r="R28" s="55" t="s">
        <v>110</v>
      </c>
      <c r="S28" s="55">
        <v>38500</v>
      </c>
      <c r="T28" s="55">
        <v>42148</v>
      </c>
      <c r="U28" s="59">
        <f>109.47</f>
        <v>109.47</v>
      </c>
    </row>
    <row r="29" spans="1:22" ht="75" customHeight="1" x14ac:dyDescent="0.2">
      <c r="A29" s="21"/>
      <c r="B29" s="24" t="s">
        <v>44</v>
      </c>
      <c r="C29" s="101" t="s">
        <v>379</v>
      </c>
      <c r="D29" s="101"/>
      <c r="E29" s="101"/>
      <c r="F29" s="101"/>
      <c r="G29" s="101"/>
      <c r="H29" s="101"/>
      <c r="I29" s="101" t="s">
        <v>256</v>
      </c>
      <c r="J29" s="101"/>
      <c r="K29" s="101"/>
      <c r="L29" s="102" t="s">
        <v>257</v>
      </c>
      <c r="M29" s="102"/>
      <c r="N29" s="102"/>
      <c r="O29" s="102"/>
      <c r="P29" s="25" t="s">
        <v>42</v>
      </c>
      <c r="Q29" s="25" t="s">
        <v>75</v>
      </c>
      <c r="R29" s="55">
        <v>50</v>
      </c>
      <c r="S29" s="55">
        <v>50</v>
      </c>
      <c r="T29" s="55">
        <v>59.05</v>
      </c>
      <c r="U29" s="59">
        <f>118.1</f>
        <v>118.1</v>
      </c>
    </row>
    <row r="30" spans="1:22" ht="75" customHeight="1" x14ac:dyDescent="0.2">
      <c r="A30" s="21"/>
      <c r="B30" s="24" t="s">
        <v>44</v>
      </c>
      <c r="C30" s="101" t="s">
        <v>44</v>
      </c>
      <c r="D30" s="101"/>
      <c r="E30" s="101"/>
      <c r="F30" s="101"/>
      <c r="G30" s="101"/>
      <c r="H30" s="101"/>
      <c r="I30" s="101" t="s">
        <v>258</v>
      </c>
      <c r="J30" s="101"/>
      <c r="K30" s="101"/>
      <c r="L30" s="102" t="s">
        <v>380</v>
      </c>
      <c r="M30" s="102"/>
      <c r="N30" s="102"/>
      <c r="O30" s="102"/>
      <c r="P30" s="25" t="s">
        <v>42</v>
      </c>
      <c r="Q30" s="25" t="s">
        <v>75</v>
      </c>
      <c r="R30" s="55">
        <v>35</v>
      </c>
      <c r="S30" s="55">
        <v>35</v>
      </c>
      <c r="T30" s="55">
        <v>60.25</v>
      </c>
      <c r="U30" s="59">
        <f>172.14</f>
        <v>172.14</v>
      </c>
    </row>
    <row r="31" spans="1:22" ht="75" customHeight="1" thickBot="1" x14ac:dyDescent="0.25">
      <c r="A31" s="21"/>
      <c r="B31" s="24" t="s">
        <v>44</v>
      </c>
      <c r="C31" s="101" t="s">
        <v>44</v>
      </c>
      <c r="D31" s="101"/>
      <c r="E31" s="101"/>
      <c r="F31" s="101"/>
      <c r="G31" s="101"/>
      <c r="H31" s="101"/>
      <c r="I31" s="101" t="s">
        <v>381</v>
      </c>
      <c r="J31" s="101"/>
      <c r="K31" s="101"/>
      <c r="L31" s="102" t="s">
        <v>382</v>
      </c>
      <c r="M31" s="102"/>
      <c r="N31" s="102"/>
      <c r="O31" s="102"/>
      <c r="P31" s="25" t="s">
        <v>42</v>
      </c>
      <c r="Q31" s="25" t="s">
        <v>58</v>
      </c>
      <c r="R31" s="55">
        <v>5.16</v>
      </c>
      <c r="S31" s="55">
        <v>5.16</v>
      </c>
      <c r="T31" s="55">
        <v>0</v>
      </c>
      <c r="U31" s="59">
        <f>0</f>
        <v>0</v>
      </c>
    </row>
    <row r="32" spans="1:22" ht="14.25" customHeight="1" thickTop="1" thickBot="1" x14ac:dyDescent="0.25">
      <c r="B32" s="4" t="s">
        <v>79</v>
      </c>
      <c r="C32" s="5"/>
      <c r="D32" s="5"/>
      <c r="E32" s="5"/>
      <c r="F32" s="5"/>
      <c r="G32" s="5"/>
      <c r="H32" s="6"/>
      <c r="I32" s="6"/>
      <c r="J32" s="6"/>
      <c r="K32" s="6"/>
      <c r="L32" s="6"/>
      <c r="M32" s="6"/>
      <c r="N32" s="6"/>
      <c r="O32" s="6"/>
      <c r="P32" s="6"/>
      <c r="Q32" s="6"/>
      <c r="R32" s="6"/>
      <c r="S32" s="6"/>
      <c r="T32" s="6"/>
      <c r="U32" s="7"/>
      <c r="V32" s="26"/>
    </row>
    <row r="33" spans="2:21" ht="26.25" customHeight="1" thickTop="1" x14ac:dyDescent="0.2">
      <c r="B33" s="27"/>
      <c r="C33" s="28"/>
      <c r="D33" s="28"/>
      <c r="E33" s="28"/>
      <c r="F33" s="28"/>
      <c r="G33" s="28"/>
      <c r="H33" s="29"/>
      <c r="I33" s="29"/>
      <c r="J33" s="29"/>
      <c r="K33" s="29"/>
      <c r="L33" s="29"/>
      <c r="M33" s="29"/>
      <c r="N33" s="29"/>
      <c r="O33" s="29"/>
      <c r="P33" s="29"/>
      <c r="Q33" s="29"/>
      <c r="R33" s="30"/>
      <c r="S33" s="31" t="s">
        <v>33</v>
      </c>
      <c r="T33" s="31" t="s">
        <v>80</v>
      </c>
      <c r="U33" s="18" t="s">
        <v>81</v>
      </c>
    </row>
    <row r="34" spans="2:21" ht="34.5" customHeight="1" thickBot="1" x14ac:dyDescent="0.25">
      <c r="B34" s="32"/>
      <c r="C34" s="33"/>
      <c r="D34" s="33"/>
      <c r="E34" s="33"/>
      <c r="F34" s="33"/>
      <c r="G34" s="33"/>
      <c r="H34" s="34"/>
      <c r="I34" s="34"/>
      <c r="J34" s="34"/>
      <c r="K34" s="34"/>
      <c r="L34" s="34"/>
      <c r="M34" s="34"/>
      <c r="N34" s="34"/>
      <c r="O34" s="34"/>
      <c r="P34" s="34"/>
      <c r="Q34" s="34"/>
      <c r="R34" s="34"/>
      <c r="S34" s="35" t="s">
        <v>82</v>
      </c>
      <c r="T34" s="36" t="s">
        <v>82</v>
      </c>
      <c r="U34" s="36" t="s">
        <v>83</v>
      </c>
    </row>
    <row r="35" spans="2:21" ht="19.5" customHeight="1" thickBot="1" x14ac:dyDescent="0.25">
      <c r="B35" s="106" t="s">
        <v>84</v>
      </c>
      <c r="C35" s="107"/>
      <c r="D35" s="107"/>
      <c r="E35" s="37"/>
      <c r="F35" s="37"/>
      <c r="G35" s="37"/>
      <c r="H35" s="38"/>
      <c r="I35" s="38"/>
      <c r="J35" s="38"/>
      <c r="K35" s="38"/>
      <c r="L35" s="38"/>
      <c r="M35" s="38"/>
      <c r="N35" s="38"/>
      <c r="O35" s="38"/>
      <c r="P35" s="39"/>
      <c r="Q35" s="39"/>
      <c r="R35" s="39"/>
      <c r="S35" s="39">
        <v>714.28</v>
      </c>
      <c r="T35" s="39">
        <v>910.44</v>
      </c>
      <c r="U35" s="64">
        <f>+IF(ISERR(T35/S35*100),"N/A",ROUND(T35/S35*100,1))</f>
        <v>127.5</v>
      </c>
    </row>
    <row r="36" spans="2:21" ht="19.5" customHeight="1" thickBot="1" x14ac:dyDescent="0.25">
      <c r="B36" s="108" t="s">
        <v>85</v>
      </c>
      <c r="C36" s="109"/>
      <c r="D36" s="109"/>
      <c r="E36" s="40"/>
      <c r="F36" s="40"/>
      <c r="G36" s="40"/>
      <c r="H36" s="41"/>
      <c r="I36" s="41"/>
      <c r="J36" s="41"/>
      <c r="K36" s="41"/>
      <c r="L36" s="41"/>
      <c r="M36" s="41"/>
      <c r="N36" s="41"/>
      <c r="O36" s="41"/>
      <c r="P36" s="42"/>
      <c r="Q36" s="42"/>
      <c r="R36" s="42"/>
      <c r="S36" s="42">
        <v>910.44</v>
      </c>
      <c r="T36" s="42">
        <v>910.44</v>
      </c>
      <c r="U36" s="64">
        <f>+IF(ISERR(T36/S36*100),"N/A",ROUND(T36/S36*100,1))</f>
        <v>100</v>
      </c>
    </row>
    <row r="37" spans="2:21" ht="14.85" customHeight="1" thickTop="1" thickBot="1" x14ac:dyDescent="0.25">
      <c r="B37" s="4" t="s">
        <v>86</v>
      </c>
      <c r="C37" s="5"/>
      <c r="D37" s="5"/>
      <c r="E37" s="5"/>
      <c r="F37" s="5"/>
      <c r="G37" s="5"/>
      <c r="H37" s="6"/>
      <c r="I37" s="6"/>
      <c r="J37" s="6"/>
      <c r="K37" s="6"/>
      <c r="L37" s="6"/>
      <c r="M37" s="6"/>
      <c r="N37" s="6"/>
      <c r="O37" s="6"/>
      <c r="P37" s="6"/>
      <c r="Q37" s="6"/>
      <c r="R37" s="6"/>
      <c r="S37" s="6"/>
      <c r="T37" s="6"/>
      <c r="U37" s="7"/>
    </row>
    <row r="38" spans="2:21" ht="44.25" customHeight="1" thickTop="1" x14ac:dyDescent="0.2">
      <c r="B38" s="110" t="s">
        <v>87</v>
      </c>
      <c r="C38" s="111"/>
      <c r="D38" s="111"/>
      <c r="E38" s="111"/>
      <c r="F38" s="111"/>
      <c r="G38" s="111"/>
      <c r="H38" s="111"/>
      <c r="I38" s="111"/>
      <c r="J38" s="111"/>
      <c r="K38" s="111"/>
      <c r="L38" s="111"/>
      <c r="M38" s="111"/>
      <c r="N38" s="111"/>
      <c r="O38" s="111"/>
      <c r="P38" s="111"/>
      <c r="Q38" s="111"/>
      <c r="R38" s="111"/>
      <c r="S38" s="111"/>
      <c r="T38" s="111"/>
      <c r="U38" s="112"/>
    </row>
    <row r="39" spans="2:21" ht="137.25" customHeight="1" x14ac:dyDescent="0.2">
      <c r="B39" s="103" t="s">
        <v>383</v>
      </c>
      <c r="C39" s="104"/>
      <c r="D39" s="104"/>
      <c r="E39" s="104"/>
      <c r="F39" s="104"/>
      <c r="G39" s="104"/>
      <c r="H39" s="104"/>
      <c r="I39" s="104"/>
      <c r="J39" s="104"/>
      <c r="K39" s="104"/>
      <c r="L39" s="104"/>
      <c r="M39" s="104"/>
      <c r="N39" s="104"/>
      <c r="O39" s="104"/>
      <c r="P39" s="104"/>
      <c r="Q39" s="104"/>
      <c r="R39" s="104"/>
      <c r="S39" s="104"/>
      <c r="T39" s="104"/>
      <c r="U39" s="105"/>
    </row>
    <row r="40" spans="2:21" ht="113.25" customHeight="1" x14ac:dyDescent="0.2">
      <c r="B40" s="103" t="s">
        <v>384</v>
      </c>
      <c r="C40" s="104"/>
      <c r="D40" s="104"/>
      <c r="E40" s="104"/>
      <c r="F40" s="104"/>
      <c r="G40" s="104"/>
      <c r="H40" s="104"/>
      <c r="I40" s="104"/>
      <c r="J40" s="104"/>
      <c r="K40" s="104"/>
      <c r="L40" s="104"/>
      <c r="M40" s="104"/>
      <c r="N40" s="104"/>
      <c r="O40" s="104"/>
      <c r="P40" s="104"/>
      <c r="Q40" s="104"/>
      <c r="R40" s="104"/>
      <c r="S40" s="104"/>
      <c r="T40" s="104"/>
      <c r="U40" s="105"/>
    </row>
    <row r="41" spans="2:21" ht="112.35" customHeight="1" x14ac:dyDescent="0.2">
      <c r="B41" s="103" t="s">
        <v>385</v>
      </c>
      <c r="C41" s="104"/>
      <c r="D41" s="104"/>
      <c r="E41" s="104"/>
      <c r="F41" s="104"/>
      <c r="G41" s="104"/>
      <c r="H41" s="104"/>
      <c r="I41" s="104"/>
      <c r="J41" s="104"/>
      <c r="K41" s="104"/>
      <c r="L41" s="104"/>
      <c r="M41" s="104"/>
      <c r="N41" s="104"/>
      <c r="O41" s="104"/>
      <c r="P41" s="104"/>
      <c r="Q41" s="104"/>
      <c r="R41" s="104"/>
      <c r="S41" s="104"/>
      <c r="T41" s="104"/>
      <c r="U41" s="105"/>
    </row>
    <row r="42" spans="2:21" ht="112.35" customHeight="1" x14ac:dyDescent="0.2">
      <c r="B42" s="103" t="s">
        <v>386</v>
      </c>
      <c r="C42" s="104"/>
      <c r="D42" s="104"/>
      <c r="E42" s="104"/>
      <c r="F42" s="104"/>
      <c r="G42" s="104"/>
      <c r="H42" s="104"/>
      <c r="I42" s="104"/>
      <c r="J42" s="104"/>
      <c r="K42" s="104"/>
      <c r="L42" s="104"/>
      <c r="M42" s="104"/>
      <c r="N42" s="104"/>
      <c r="O42" s="104"/>
      <c r="P42" s="104"/>
      <c r="Q42" s="104"/>
      <c r="R42" s="104"/>
      <c r="S42" s="104"/>
      <c r="T42" s="104"/>
      <c r="U42" s="105"/>
    </row>
    <row r="43" spans="2:21" ht="111.2" customHeight="1" x14ac:dyDescent="0.2">
      <c r="B43" s="103" t="s">
        <v>387</v>
      </c>
      <c r="C43" s="104"/>
      <c r="D43" s="104"/>
      <c r="E43" s="104"/>
      <c r="F43" s="104"/>
      <c r="G43" s="104"/>
      <c r="H43" s="104"/>
      <c r="I43" s="104"/>
      <c r="J43" s="104"/>
      <c r="K43" s="104"/>
      <c r="L43" s="104"/>
      <c r="M43" s="104"/>
      <c r="N43" s="104"/>
      <c r="O43" s="104"/>
      <c r="P43" s="104"/>
      <c r="Q43" s="104"/>
      <c r="R43" s="104"/>
      <c r="S43" s="104"/>
      <c r="T43" s="104"/>
      <c r="U43" s="105"/>
    </row>
    <row r="44" spans="2:21" ht="76.5" customHeight="1" x14ac:dyDescent="0.2">
      <c r="B44" s="103" t="s">
        <v>388</v>
      </c>
      <c r="C44" s="104"/>
      <c r="D44" s="104"/>
      <c r="E44" s="104"/>
      <c r="F44" s="104"/>
      <c r="G44" s="104"/>
      <c r="H44" s="104"/>
      <c r="I44" s="104"/>
      <c r="J44" s="104"/>
      <c r="K44" s="104"/>
      <c r="L44" s="104"/>
      <c r="M44" s="104"/>
      <c r="N44" s="104"/>
      <c r="O44" s="104"/>
      <c r="P44" s="104"/>
      <c r="Q44" s="104"/>
      <c r="R44" s="104"/>
      <c r="S44" s="104"/>
      <c r="T44" s="104"/>
      <c r="U44" s="105"/>
    </row>
    <row r="45" spans="2:21" ht="84" customHeight="1" x14ac:dyDescent="0.2">
      <c r="B45" s="103" t="s">
        <v>389</v>
      </c>
      <c r="C45" s="104"/>
      <c r="D45" s="104"/>
      <c r="E45" s="104"/>
      <c r="F45" s="104"/>
      <c r="G45" s="104"/>
      <c r="H45" s="104"/>
      <c r="I45" s="104"/>
      <c r="J45" s="104"/>
      <c r="K45" s="104"/>
      <c r="L45" s="104"/>
      <c r="M45" s="104"/>
      <c r="N45" s="104"/>
      <c r="O45" s="104"/>
      <c r="P45" s="104"/>
      <c r="Q45" s="104"/>
      <c r="R45" s="104"/>
      <c r="S45" s="104"/>
      <c r="T45" s="104"/>
      <c r="U45" s="105"/>
    </row>
    <row r="46" spans="2:21" ht="77.25" customHeight="1" x14ac:dyDescent="0.2">
      <c r="B46" s="103" t="s">
        <v>390</v>
      </c>
      <c r="C46" s="104"/>
      <c r="D46" s="104"/>
      <c r="E46" s="104"/>
      <c r="F46" s="104"/>
      <c r="G46" s="104"/>
      <c r="H46" s="104"/>
      <c r="I46" s="104"/>
      <c r="J46" s="104"/>
      <c r="K46" s="104"/>
      <c r="L46" s="104"/>
      <c r="M46" s="104"/>
      <c r="N46" s="104"/>
      <c r="O46" s="104"/>
      <c r="P46" s="104"/>
      <c r="Q46" s="104"/>
      <c r="R46" s="104"/>
      <c r="S46" s="104"/>
      <c r="T46" s="104"/>
      <c r="U46" s="105"/>
    </row>
    <row r="47" spans="2:21" ht="146.1" customHeight="1" x14ac:dyDescent="0.2">
      <c r="B47" s="103" t="s">
        <v>391</v>
      </c>
      <c r="C47" s="104"/>
      <c r="D47" s="104"/>
      <c r="E47" s="104"/>
      <c r="F47" s="104"/>
      <c r="G47" s="104"/>
      <c r="H47" s="104"/>
      <c r="I47" s="104"/>
      <c r="J47" s="104"/>
      <c r="K47" s="104"/>
      <c r="L47" s="104"/>
      <c r="M47" s="104"/>
      <c r="N47" s="104"/>
      <c r="O47" s="104"/>
      <c r="P47" s="104"/>
      <c r="Q47" s="104"/>
      <c r="R47" s="104"/>
      <c r="S47" s="104"/>
      <c r="T47" s="104"/>
      <c r="U47" s="105"/>
    </row>
    <row r="48" spans="2:21" ht="143.1" customHeight="1" x14ac:dyDescent="0.2">
      <c r="B48" s="103" t="s">
        <v>392</v>
      </c>
      <c r="C48" s="104"/>
      <c r="D48" s="104"/>
      <c r="E48" s="104"/>
      <c r="F48" s="104"/>
      <c r="G48" s="104"/>
      <c r="H48" s="104"/>
      <c r="I48" s="104"/>
      <c r="J48" s="104"/>
      <c r="K48" s="104"/>
      <c r="L48" s="104"/>
      <c r="M48" s="104"/>
      <c r="N48" s="104"/>
      <c r="O48" s="104"/>
      <c r="P48" s="104"/>
      <c r="Q48" s="104"/>
      <c r="R48" s="104"/>
      <c r="S48" s="104"/>
      <c r="T48" s="104"/>
      <c r="U48" s="105"/>
    </row>
    <row r="49" spans="2:21" ht="143.85" customHeight="1" x14ac:dyDescent="0.2">
      <c r="B49" s="103" t="s">
        <v>393</v>
      </c>
      <c r="C49" s="104"/>
      <c r="D49" s="104"/>
      <c r="E49" s="104"/>
      <c r="F49" s="104"/>
      <c r="G49" s="104"/>
      <c r="H49" s="104"/>
      <c r="I49" s="104"/>
      <c r="J49" s="104"/>
      <c r="K49" s="104"/>
      <c r="L49" s="104"/>
      <c r="M49" s="104"/>
      <c r="N49" s="104"/>
      <c r="O49" s="104"/>
      <c r="P49" s="104"/>
      <c r="Q49" s="104"/>
      <c r="R49" s="104"/>
      <c r="S49" s="104"/>
      <c r="T49" s="104"/>
      <c r="U49" s="105"/>
    </row>
    <row r="50" spans="2:21" ht="81.75" customHeight="1" x14ac:dyDescent="0.2">
      <c r="B50" s="103" t="s">
        <v>394</v>
      </c>
      <c r="C50" s="104"/>
      <c r="D50" s="104"/>
      <c r="E50" s="104"/>
      <c r="F50" s="104"/>
      <c r="G50" s="104"/>
      <c r="H50" s="104"/>
      <c r="I50" s="104"/>
      <c r="J50" s="104"/>
      <c r="K50" s="104"/>
      <c r="L50" s="104"/>
      <c r="M50" s="104"/>
      <c r="N50" s="104"/>
      <c r="O50" s="104"/>
      <c r="P50" s="104"/>
      <c r="Q50" s="104"/>
      <c r="R50" s="104"/>
      <c r="S50" s="104"/>
      <c r="T50" s="104"/>
      <c r="U50" s="105"/>
    </row>
    <row r="51" spans="2:21" ht="137.1" customHeight="1" x14ac:dyDescent="0.2">
      <c r="B51" s="103" t="s">
        <v>395</v>
      </c>
      <c r="C51" s="104"/>
      <c r="D51" s="104"/>
      <c r="E51" s="104"/>
      <c r="F51" s="104"/>
      <c r="G51" s="104"/>
      <c r="H51" s="104"/>
      <c r="I51" s="104"/>
      <c r="J51" s="104"/>
      <c r="K51" s="104"/>
      <c r="L51" s="104"/>
      <c r="M51" s="104"/>
      <c r="N51" s="104"/>
      <c r="O51" s="104"/>
      <c r="P51" s="104"/>
      <c r="Q51" s="104"/>
      <c r="R51" s="104"/>
      <c r="S51" s="104"/>
      <c r="T51" s="104"/>
      <c r="U51" s="105"/>
    </row>
    <row r="52" spans="2:21" ht="99" customHeight="1" x14ac:dyDescent="0.2">
      <c r="B52" s="103" t="s">
        <v>396</v>
      </c>
      <c r="C52" s="104"/>
      <c r="D52" s="104"/>
      <c r="E52" s="104"/>
      <c r="F52" s="104"/>
      <c r="G52" s="104"/>
      <c r="H52" s="104"/>
      <c r="I52" s="104"/>
      <c r="J52" s="104"/>
      <c r="K52" s="104"/>
      <c r="L52" s="104"/>
      <c r="M52" s="104"/>
      <c r="N52" s="104"/>
      <c r="O52" s="104"/>
      <c r="P52" s="104"/>
      <c r="Q52" s="104"/>
      <c r="R52" s="104"/>
      <c r="S52" s="104"/>
      <c r="T52" s="104"/>
      <c r="U52" s="105"/>
    </row>
    <row r="53" spans="2:21" ht="145.5" customHeight="1" x14ac:dyDescent="0.2">
      <c r="B53" s="103" t="s">
        <v>397</v>
      </c>
      <c r="C53" s="104"/>
      <c r="D53" s="104"/>
      <c r="E53" s="104"/>
      <c r="F53" s="104"/>
      <c r="G53" s="104"/>
      <c r="H53" s="104"/>
      <c r="I53" s="104"/>
      <c r="J53" s="104"/>
      <c r="K53" s="104"/>
      <c r="L53" s="104"/>
      <c r="M53" s="104"/>
      <c r="N53" s="104"/>
      <c r="O53" s="104"/>
      <c r="P53" s="104"/>
      <c r="Q53" s="104"/>
      <c r="R53" s="104"/>
      <c r="S53" s="104"/>
      <c r="T53" s="104"/>
      <c r="U53" s="105"/>
    </row>
    <row r="54" spans="2:21" ht="60.75" customHeight="1" x14ac:dyDescent="0.2">
      <c r="B54" s="103" t="s">
        <v>398</v>
      </c>
      <c r="C54" s="104"/>
      <c r="D54" s="104"/>
      <c r="E54" s="104"/>
      <c r="F54" s="104"/>
      <c r="G54" s="104"/>
      <c r="H54" s="104"/>
      <c r="I54" s="104"/>
      <c r="J54" s="104"/>
      <c r="K54" s="104"/>
      <c r="L54" s="104"/>
      <c r="M54" s="104"/>
      <c r="N54" s="104"/>
      <c r="O54" s="104"/>
      <c r="P54" s="104"/>
      <c r="Q54" s="104"/>
      <c r="R54" s="104"/>
      <c r="S54" s="104"/>
      <c r="T54" s="104"/>
      <c r="U54" s="105"/>
    </row>
    <row r="55" spans="2:21" ht="73.5" customHeight="1" x14ac:dyDescent="0.2">
      <c r="B55" s="103" t="s">
        <v>399</v>
      </c>
      <c r="C55" s="104"/>
      <c r="D55" s="104"/>
      <c r="E55" s="104"/>
      <c r="F55" s="104"/>
      <c r="G55" s="104"/>
      <c r="H55" s="104"/>
      <c r="I55" s="104"/>
      <c r="J55" s="104"/>
      <c r="K55" s="104"/>
      <c r="L55" s="104"/>
      <c r="M55" s="104"/>
      <c r="N55" s="104"/>
      <c r="O55" s="104"/>
      <c r="P55" s="104"/>
      <c r="Q55" s="104"/>
      <c r="R55" s="104"/>
      <c r="S55" s="104"/>
      <c r="T55" s="104"/>
      <c r="U55" s="105"/>
    </row>
    <row r="56" spans="2:21" ht="48" customHeight="1" x14ac:dyDescent="0.2">
      <c r="B56" s="103" t="s">
        <v>400</v>
      </c>
      <c r="C56" s="104"/>
      <c r="D56" s="104"/>
      <c r="E56" s="104"/>
      <c r="F56" s="104"/>
      <c r="G56" s="104"/>
      <c r="H56" s="104"/>
      <c r="I56" s="104"/>
      <c r="J56" s="104"/>
      <c r="K56" s="104"/>
      <c r="L56" s="104"/>
      <c r="M56" s="104"/>
      <c r="N56" s="104"/>
      <c r="O56" s="104"/>
      <c r="P56" s="104"/>
      <c r="Q56" s="104"/>
      <c r="R56" s="104"/>
      <c r="S56" s="104"/>
      <c r="T56" s="104"/>
      <c r="U56" s="105"/>
    </row>
    <row r="57" spans="2:21" ht="152.25" customHeight="1" x14ac:dyDescent="0.2">
      <c r="B57" s="103" t="s">
        <v>401</v>
      </c>
      <c r="C57" s="104"/>
      <c r="D57" s="104"/>
      <c r="E57" s="104"/>
      <c r="F57" s="104"/>
      <c r="G57" s="104"/>
      <c r="H57" s="104"/>
      <c r="I57" s="104"/>
      <c r="J57" s="104"/>
      <c r="K57" s="104"/>
      <c r="L57" s="104"/>
      <c r="M57" s="104"/>
      <c r="N57" s="104"/>
      <c r="O57" s="104"/>
      <c r="P57" s="104"/>
      <c r="Q57" s="104"/>
      <c r="R57" s="104"/>
      <c r="S57" s="104"/>
      <c r="T57" s="104"/>
      <c r="U57" s="105"/>
    </row>
    <row r="58" spans="2:21" ht="78" customHeight="1" thickBot="1" x14ac:dyDescent="0.25">
      <c r="B58" s="113" t="s">
        <v>402</v>
      </c>
      <c r="C58" s="114"/>
      <c r="D58" s="114"/>
      <c r="E58" s="114"/>
      <c r="F58" s="114"/>
      <c r="G58" s="114"/>
      <c r="H58" s="114"/>
      <c r="I58" s="114"/>
      <c r="J58" s="114"/>
      <c r="K58" s="114"/>
      <c r="L58" s="114"/>
      <c r="M58" s="114"/>
      <c r="N58" s="114"/>
      <c r="O58" s="114"/>
      <c r="P58" s="114"/>
      <c r="Q58" s="114"/>
      <c r="R58" s="114"/>
      <c r="S58" s="114"/>
      <c r="T58" s="114"/>
      <c r="U58" s="115"/>
    </row>
  </sheetData>
  <mergeCells count="107">
    <mergeCell ref="B53:U53"/>
    <mergeCell ref="B54:U54"/>
    <mergeCell ref="B55:U55"/>
    <mergeCell ref="B56:U56"/>
    <mergeCell ref="B57:U57"/>
    <mergeCell ref="B58:U58"/>
    <mergeCell ref="B47:U47"/>
    <mergeCell ref="B48:U48"/>
    <mergeCell ref="B49:U49"/>
    <mergeCell ref="B50:U50"/>
    <mergeCell ref="B51:U51"/>
    <mergeCell ref="B52:U52"/>
    <mergeCell ref="B41:U41"/>
    <mergeCell ref="B42:U42"/>
    <mergeCell ref="B43:U43"/>
    <mergeCell ref="B44:U44"/>
    <mergeCell ref="B45:U45"/>
    <mergeCell ref="B46:U46"/>
    <mergeCell ref="B35:D35"/>
    <mergeCell ref="B36:D36"/>
    <mergeCell ref="B38:U38"/>
    <mergeCell ref="B39:U39"/>
    <mergeCell ref="B40:U40"/>
    <mergeCell ref="C30:H30"/>
    <mergeCell ref="I30:K30"/>
    <mergeCell ref="L30:O30"/>
    <mergeCell ref="C31:H31"/>
    <mergeCell ref="I31:K31"/>
    <mergeCell ref="L31:O31"/>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C14:H14"/>
    <mergeCell ref="I14:K14"/>
    <mergeCell ref="L14:O14"/>
    <mergeCell ref="B8:B10"/>
    <mergeCell ref="C8:H10"/>
    <mergeCell ref="I8:S8"/>
    <mergeCell ref="T8:U8"/>
    <mergeCell ref="I9:K10"/>
    <mergeCell ref="L9:O10"/>
    <mergeCell ref="B1:L1"/>
    <mergeCell ref="D4:H4"/>
    <mergeCell ref="L4:O4"/>
    <mergeCell ref="Q4:R4"/>
    <mergeCell ref="T4:U4"/>
    <mergeCell ref="B5:U5"/>
    <mergeCell ref="P9:P10"/>
    <mergeCell ref="Q9:Q10"/>
    <mergeCell ref="R9:S9"/>
    <mergeCell ref="T9:T10"/>
    <mergeCell ref="U9:U10"/>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61"/>
  <sheetViews>
    <sheetView topLeftCell="K33" zoomScale="80" zoomScaleNormal="80" zoomScaleSheetLayoutView="80" workbookViewId="0">
      <selection activeCell="S36" sqref="S36:U37"/>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3" style="1" customWidth="1"/>
    <col min="20" max="20" width="12.62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62.25" customHeight="1" thickTop="1" x14ac:dyDescent="0.2">
      <c r="B4" s="44" t="s">
        <v>6</v>
      </c>
      <c r="C4" s="45" t="s">
        <v>403</v>
      </c>
      <c r="D4" s="116" t="s">
        <v>404</v>
      </c>
      <c r="E4" s="116"/>
      <c r="F4" s="116"/>
      <c r="G4" s="116"/>
      <c r="H4" s="116"/>
      <c r="I4" s="46"/>
      <c r="J4" s="47" t="s">
        <v>9</v>
      </c>
      <c r="K4" s="48" t="s">
        <v>10</v>
      </c>
      <c r="L4" s="117" t="s">
        <v>11</v>
      </c>
      <c r="M4" s="117"/>
      <c r="N4" s="117"/>
      <c r="O4" s="117"/>
      <c r="P4" s="47" t="s">
        <v>12</v>
      </c>
      <c r="Q4" s="117" t="s">
        <v>405</v>
      </c>
      <c r="R4" s="117"/>
      <c r="S4" s="47" t="s">
        <v>14</v>
      </c>
      <c r="T4" s="117" t="s">
        <v>406</v>
      </c>
      <c r="U4" s="118"/>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37.5" customHeight="1" thickBot="1" x14ac:dyDescent="0.25">
      <c r="B6" s="49" t="s">
        <v>16</v>
      </c>
      <c r="C6" s="119" t="s">
        <v>102</v>
      </c>
      <c r="D6" s="119"/>
      <c r="E6" s="119"/>
      <c r="F6" s="119"/>
      <c r="G6" s="119"/>
      <c r="H6" s="50"/>
      <c r="I6" s="50"/>
      <c r="J6" s="50" t="s">
        <v>18</v>
      </c>
      <c r="K6" s="119" t="s">
        <v>103</v>
      </c>
      <c r="L6" s="119"/>
      <c r="M6" s="119"/>
      <c r="N6" s="51"/>
      <c r="O6" s="50" t="s">
        <v>20</v>
      </c>
      <c r="P6" s="119" t="s">
        <v>104</v>
      </c>
      <c r="Q6" s="119"/>
      <c r="R6" s="52"/>
      <c r="S6" s="50" t="s">
        <v>22</v>
      </c>
      <c r="T6" s="119" t="s">
        <v>105</v>
      </c>
      <c r="U6" s="12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133.5" customHeight="1" thickTop="1" thickBot="1" x14ac:dyDescent="0.25">
      <c r="A11" s="21"/>
      <c r="B11" s="22" t="s">
        <v>38</v>
      </c>
      <c r="C11" s="99" t="s">
        <v>407</v>
      </c>
      <c r="D11" s="99"/>
      <c r="E11" s="99"/>
      <c r="F11" s="99"/>
      <c r="G11" s="99"/>
      <c r="H11" s="99"/>
      <c r="I11" s="99" t="s">
        <v>408</v>
      </c>
      <c r="J11" s="99"/>
      <c r="K11" s="99"/>
      <c r="L11" s="100" t="s">
        <v>409</v>
      </c>
      <c r="M11" s="100"/>
      <c r="N11" s="100"/>
      <c r="O11" s="100"/>
      <c r="P11" s="23" t="s">
        <v>42</v>
      </c>
      <c r="Q11" s="23" t="s">
        <v>129</v>
      </c>
      <c r="R11" s="53">
        <v>20.3</v>
      </c>
      <c r="S11" s="53">
        <v>20.3</v>
      </c>
      <c r="T11" s="53">
        <v>2.2799999999999998</v>
      </c>
      <c r="U11" s="58">
        <f>11.23</f>
        <v>11.23</v>
      </c>
    </row>
    <row r="12" spans="1:21" ht="114" customHeight="1" thickTop="1" x14ac:dyDescent="0.2">
      <c r="A12" s="21"/>
      <c r="B12" s="22" t="s">
        <v>47</v>
      </c>
      <c r="C12" s="99" t="s">
        <v>410</v>
      </c>
      <c r="D12" s="99"/>
      <c r="E12" s="99"/>
      <c r="F12" s="99"/>
      <c r="G12" s="99"/>
      <c r="H12" s="99"/>
      <c r="I12" s="99" t="s">
        <v>411</v>
      </c>
      <c r="J12" s="99"/>
      <c r="K12" s="99"/>
      <c r="L12" s="100" t="s">
        <v>412</v>
      </c>
      <c r="M12" s="100"/>
      <c r="N12" s="100"/>
      <c r="O12" s="100"/>
      <c r="P12" s="23" t="s">
        <v>42</v>
      </c>
      <c r="Q12" s="23" t="s">
        <v>129</v>
      </c>
      <c r="R12" s="53">
        <v>83.1</v>
      </c>
      <c r="S12" s="53">
        <v>83.1</v>
      </c>
      <c r="T12" s="53">
        <v>9.4</v>
      </c>
      <c r="U12" s="58">
        <f>11.31</f>
        <v>11.31</v>
      </c>
    </row>
    <row r="13" spans="1:21" ht="75" customHeight="1" x14ac:dyDescent="0.2">
      <c r="A13" s="21"/>
      <c r="B13" s="24" t="s">
        <v>44</v>
      </c>
      <c r="C13" s="101" t="s">
        <v>44</v>
      </c>
      <c r="D13" s="101"/>
      <c r="E13" s="101"/>
      <c r="F13" s="101"/>
      <c r="G13" s="101"/>
      <c r="H13" s="101"/>
      <c r="I13" s="101" t="s">
        <v>413</v>
      </c>
      <c r="J13" s="101"/>
      <c r="K13" s="101"/>
      <c r="L13" s="102" t="s">
        <v>414</v>
      </c>
      <c r="M13" s="102"/>
      <c r="N13" s="102"/>
      <c r="O13" s="102"/>
      <c r="P13" s="25" t="s">
        <v>415</v>
      </c>
      <c r="Q13" s="25" t="s">
        <v>129</v>
      </c>
      <c r="R13" s="55" t="s">
        <v>110</v>
      </c>
      <c r="S13" s="55">
        <v>3289000</v>
      </c>
      <c r="T13" s="57">
        <v>3561000</v>
      </c>
      <c r="U13" s="59">
        <f>108.27</f>
        <v>108.27</v>
      </c>
    </row>
    <row r="14" spans="1:21" ht="75" customHeight="1" x14ac:dyDescent="0.2">
      <c r="A14" s="21"/>
      <c r="B14" s="24" t="s">
        <v>44</v>
      </c>
      <c r="C14" s="101" t="s">
        <v>44</v>
      </c>
      <c r="D14" s="101"/>
      <c r="E14" s="101"/>
      <c r="F14" s="101"/>
      <c r="G14" s="101"/>
      <c r="H14" s="101"/>
      <c r="I14" s="101" t="s">
        <v>416</v>
      </c>
      <c r="J14" s="101"/>
      <c r="K14" s="101"/>
      <c r="L14" s="102" t="s">
        <v>417</v>
      </c>
      <c r="M14" s="102"/>
      <c r="N14" s="102"/>
      <c r="O14" s="102"/>
      <c r="P14" s="25" t="s">
        <v>42</v>
      </c>
      <c r="Q14" s="25" t="s">
        <v>129</v>
      </c>
      <c r="R14" s="55">
        <v>23</v>
      </c>
      <c r="S14" s="55">
        <v>23</v>
      </c>
      <c r="T14" s="55">
        <v>1.2</v>
      </c>
      <c r="U14" s="59">
        <f>5.21</f>
        <v>5.21</v>
      </c>
    </row>
    <row r="15" spans="1:21" ht="75" customHeight="1" thickBot="1" x14ac:dyDescent="0.25">
      <c r="A15" s="21"/>
      <c r="B15" s="24" t="s">
        <v>44</v>
      </c>
      <c r="C15" s="101" t="s">
        <v>44</v>
      </c>
      <c r="D15" s="101"/>
      <c r="E15" s="101"/>
      <c r="F15" s="101"/>
      <c r="G15" s="101"/>
      <c r="H15" s="101"/>
      <c r="I15" s="101" t="s">
        <v>418</v>
      </c>
      <c r="J15" s="101"/>
      <c r="K15" s="101"/>
      <c r="L15" s="102" t="s">
        <v>419</v>
      </c>
      <c r="M15" s="102"/>
      <c r="N15" s="102"/>
      <c r="O15" s="102"/>
      <c r="P15" s="25" t="s">
        <v>42</v>
      </c>
      <c r="Q15" s="25" t="s">
        <v>129</v>
      </c>
      <c r="R15" s="55">
        <v>35.4</v>
      </c>
      <c r="S15" s="55">
        <v>35.4</v>
      </c>
      <c r="T15" s="55">
        <v>3.7</v>
      </c>
      <c r="U15" s="59">
        <f>10.45</f>
        <v>10.45</v>
      </c>
    </row>
    <row r="16" spans="1:21" ht="75" customHeight="1" thickTop="1" x14ac:dyDescent="0.2">
      <c r="A16" s="21"/>
      <c r="B16" s="22" t="s">
        <v>54</v>
      </c>
      <c r="C16" s="99" t="s">
        <v>420</v>
      </c>
      <c r="D16" s="99"/>
      <c r="E16" s="99"/>
      <c r="F16" s="99"/>
      <c r="G16" s="99"/>
      <c r="H16" s="99"/>
      <c r="I16" s="99" t="s">
        <v>421</v>
      </c>
      <c r="J16" s="99"/>
      <c r="K16" s="99"/>
      <c r="L16" s="100" t="s">
        <v>422</v>
      </c>
      <c r="M16" s="100"/>
      <c r="N16" s="100"/>
      <c r="O16" s="100"/>
      <c r="P16" s="23" t="s">
        <v>42</v>
      </c>
      <c r="Q16" s="23" t="s">
        <v>423</v>
      </c>
      <c r="R16" s="53">
        <v>76.8</v>
      </c>
      <c r="S16" s="53">
        <v>76.8</v>
      </c>
      <c r="T16" s="53">
        <v>4.8</v>
      </c>
      <c r="U16" s="58">
        <f>6.25</f>
        <v>6.25</v>
      </c>
    </row>
    <row r="17" spans="1:21" ht="75" customHeight="1" x14ac:dyDescent="0.2">
      <c r="A17" s="21"/>
      <c r="B17" s="24" t="s">
        <v>44</v>
      </c>
      <c r="C17" s="101" t="s">
        <v>44</v>
      </c>
      <c r="D17" s="101"/>
      <c r="E17" s="101"/>
      <c r="F17" s="101"/>
      <c r="G17" s="101"/>
      <c r="H17" s="101"/>
      <c r="I17" s="101" t="s">
        <v>424</v>
      </c>
      <c r="J17" s="101"/>
      <c r="K17" s="101"/>
      <c r="L17" s="102" t="s">
        <v>425</v>
      </c>
      <c r="M17" s="102"/>
      <c r="N17" s="102"/>
      <c r="O17" s="102"/>
      <c r="P17" s="25" t="s">
        <v>426</v>
      </c>
      <c r="Q17" s="25" t="s">
        <v>43</v>
      </c>
      <c r="R17" s="55" t="s">
        <v>110</v>
      </c>
      <c r="S17" s="55">
        <v>449</v>
      </c>
      <c r="T17" s="57">
        <v>527</v>
      </c>
      <c r="U17" s="59">
        <f>117.37</f>
        <v>117.37</v>
      </c>
    </row>
    <row r="18" spans="1:21" ht="75" customHeight="1" x14ac:dyDescent="0.2">
      <c r="A18" s="21"/>
      <c r="B18" s="24" t="s">
        <v>44</v>
      </c>
      <c r="C18" s="101" t="s">
        <v>44</v>
      </c>
      <c r="D18" s="101"/>
      <c r="E18" s="101"/>
      <c r="F18" s="101"/>
      <c r="G18" s="101"/>
      <c r="H18" s="101"/>
      <c r="I18" s="101" t="s">
        <v>427</v>
      </c>
      <c r="J18" s="101"/>
      <c r="K18" s="101"/>
      <c r="L18" s="102" t="s">
        <v>428</v>
      </c>
      <c r="M18" s="102"/>
      <c r="N18" s="102"/>
      <c r="O18" s="102"/>
      <c r="P18" s="25" t="s">
        <v>426</v>
      </c>
      <c r="Q18" s="25" t="s">
        <v>43</v>
      </c>
      <c r="R18" s="55" t="s">
        <v>110</v>
      </c>
      <c r="S18" s="55">
        <v>971</v>
      </c>
      <c r="T18" s="55">
        <v>990</v>
      </c>
      <c r="U18" s="59">
        <f>101.96</f>
        <v>101.96</v>
      </c>
    </row>
    <row r="19" spans="1:21" ht="96" customHeight="1" x14ac:dyDescent="0.2">
      <c r="A19" s="21"/>
      <c r="B19" s="24" t="s">
        <v>44</v>
      </c>
      <c r="C19" s="101" t="s">
        <v>44</v>
      </c>
      <c r="D19" s="101"/>
      <c r="E19" s="101"/>
      <c r="F19" s="101"/>
      <c r="G19" s="101"/>
      <c r="H19" s="101"/>
      <c r="I19" s="101" t="s">
        <v>429</v>
      </c>
      <c r="J19" s="101"/>
      <c r="K19" s="101"/>
      <c r="L19" s="102" t="s">
        <v>430</v>
      </c>
      <c r="M19" s="102"/>
      <c r="N19" s="102"/>
      <c r="O19" s="102"/>
      <c r="P19" s="25" t="s">
        <v>42</v>
      </c>
      <c r="Q19" s="25" t="s">
        <v>129</v>
      </c>
      <c r="R19" s="55">
        <v>72.459999999999994</v>
      </c>
      <c r="S19" s="55">
        <v>40.14</v>
      </c>
      <c r="T19" s="55">
        <v>54.04</v>
      </c>
      <c r="U19" s="59">
        <f>134.63</f>
        <v>134.63</v>
      </c>
    </row>
    <row r="20" spans="1:21" ht="130.5" customHeight="1" x14ac:dyDescent="0.2">
      <c r="A20" s="21"/>
      <c r="B20" s="24" t="s">
        <v>44</v>
      </c>
      <c r="C20" s="101" t="s">
        <v>431</v>
      </c>
      <c r="D20" s="101"/>
      <c r="E20" s="101"/>
      <c r="F20" s="101"/>
      <c r="G20" s="101"/>
      <c r="H20" s="101"/>
      <c r="I20" s="101" t="s">
        <v>432</v>
      </c>
      <c r="J20" s="101"/>
      <c r="K20" s="101"/>
      <c r="L20" s="102" t="s">
        <v>433</v>
      </c>
      <c r="M20" s="102"/>
      <c r="N20" s="102"/>
      <c r="O20" s="102"/>
      <c r="P20" s="25" t="s">
        <v>167</v>
      </c>
      <c r="Q20" s="25" t="s">
        <v>58</v>
      </c>
      <c r="R20" s="55">
        <v>25</v>
      </c>
      <c r="S20" s="55">
        <v>25</v>
      </c>
      <c r="T20" s="55">
        <v>28.5</v>
      </c>
      <c r="U20" s="59">
        <f>114</f>
        <v>114</v>
      </c>
    </row>
    <row r="21" spans="1:21" ht="115.5" customHeight="1" thickBot="1" x14ac:dyDescent="0.25">
      <c r="A21" s="21"/>
      <c r="B21" s="24" t="s">
        <v>44</v>
      </c>
      <c r="C21" s="101" t="s">
        <v>44</v>
      </c>
      <c r="D21" s="101"/>
      <c r="E21" s="101"/>
      <c r="F21" s="101"/>
      <c r="G21" s="101"/>
      <c r="H21" s="101"/>
      <c r="I21" s="101" t="s">
        <v>434</v>
      </c>
      <c r="J21" s="101"/>
      <c r="K21" s="101"/>
      <c r="L21" s="102" t="s">
        <v>435</v>
      </c>
      <c r="M21" s="102"/>
      <c r="N21" s="102"/>
      <c r="O21" s="102"/>
      <c r="P21" s="25" t="s">
        <v>42</v>
      </c>
      <c r="Q21" s="25" t="s">
        <v>423</v>
      </c>
      <c r="R21" s="55">
        <v>91.8</v>
      </c>
      <c r="S21" s="55">
        <v>91.8</v>
      </c>
      <c r="T21" s="55">
        <v>9.6999999999999993</v>
      </c>
      <c r="U21" s="59">
        <f>10.57</f>
        <v>10.57</v>
      </c>
    </row>
    <row r="22" spans="1:21" ht="75" customHeight="1" thickTop="1" x14ac:dyDescent="0.2">
      <c r="A22" s="21"/>
      <c r="B22" s="22" t="s">
        <v>62</v>
      </c>
      <c r="C22" s="99" t="s">
        <v>436</v>
      </c>
      <c r="D22" s="99"/>
      <c r="E22" s="99"/>
      <c r="F22" s="99"/>
      <c r="G22" s="99"/>
      <c r="H22" s="99"/>
      <c r="I22" s="99" t="s">
        <v>437</v>
      </c>
      <c r="J22" s="99"/>
      <c r="K22" s="99"/>
      <c r="L22" s="100" t="s">
        <v>438</v>
      </c>
      <c r="M22" s="100"/>
      <c r="N22" s="100"/>
      <c r="O22" s="100"/>
      <c r="P22" s="23" t="s">
        <v>138</v>
      </c>
      <c r="Q22" s="23" t="s">
        <v>176</v>
      </c>
      <c r="R22" s="53" t="s">
        <v>110</v>
      </c>
      <c r="S22" s="53">
        <v>608</v>
      </c>
      <c r="T22" s="60">
        <v>711</v>
      </c>
      <c r="U22" s="58">
        <f>116.94</f>
        <v>116.94</v>
      </c>
    </row>
    <row r="23" spans="1:21" ht="104.25" customHeight="1" x14ac:dyDescent="0.2">
      <c r="A23" s="21"/>
      <c r="B23" s="24" t="s">
        <v>44</v>
      </c>
      <c r="C23" s="101" t="s">
        <v>439</v>
      </c>
      <c r="D23" s="101"/>
      <c r="E23" s="101"/>
      <c r="F23" s="101"/>
      <c r="G23" s="101"/>
      <c r="H23" s="101"/>
      <c r="I23" s="101" t="s">
        <v>440</v>
      </c>
      <c r="J23" s="101"/>
      <c r="K23" s="101"/>
      <c r="L23" s="102" t="s">
        <v>441</v>
      </c>
      <c r="M23" s="102"/>
      <c r="N23" s="102"/>
      <c r="O23" s="102"/>
      <c r="P23" s="25" t="s">
        <v>442</v>
      </c>
      <c r="Q23" s="25" t="s">
        <v>176</v>
      </c>
      <c r="R23" s="55" t="s">
        <v>110</v>
      </c>
      <c r="S23" s="57">
        <v>5</v>
      </c>
      <c r="T23" s="57">
        <v>5</v>
      </c>
      <c r="U23" s="59">
        <f>100</f>
        <v>100</v>
      </c>
    </row>
    <row r="24" spans="1:21" ht="123" customHeight="1" x14ac:dyDescent="0.2">
      <c r="A24" s="21"/>
      <c r="B24" s="24" t="s">
        <v>44</v>
      </c>
      <c r="C24" s="101" t="s">
        <v>443</v>
      </c>
      <c r="D24" s="101"/>
      <c r="E24" s="101"/>
      <c r="F24" s="101"/>
      <c r="G24" s="101"/>
      <c r="H24" s="101"/>
      <c r="I24" s="101" t="s">
        <v>444</v>
      </c>
      <c r="J24" s="101"/>
      <c r="K24" s="101"/>
      <c r="L24" s="102" t="s">
        <v>445</v>
      </c>
      <c r="M24" s="102"/>
      <c r="N24" s="102"/>
      <c r="O24" s="102"/>
      <c r="P24" s="25" t="s">
        <v>42</v>
      </c>
      <c r="Q24" s="25" t="s">
        <v>176</v>
      </c>
      <c r="R24" s="55">
        <v>100</v>
      </c>
      <c r="S24" s="55">
        <v>100</v>
      </c>
      <c r="T24" s="55">
        <v>101.96</v>
      </c>
      <c r="U24" s="59">
        <f>101.96</f>
        <v>101.96</v>
      </c>
    </row>
    <row r="25" spans="1:21" ht="87" customHeight="1" x14ac:dyDescent="0.2">
      <c r="A25" s="21"/>
      <c r="B25" s="24" t="s">
        <v>44</v>
      </c>
      <c r="C25" s="101" t="s">
        <v>44</v>
      </c>
      <c r="D25" s="101"/>
      <c r="E25" s="101"/>
      <c r="F25" s="101"/>
      <c r="G25" s="101"/>
      <c r="H25" s="101"/>
      <c r="I25" s="101" t="s">
        <v>446</v>
      </c>
      <c r="J25" s="101"/>
      <c r="K25" s="101"/>
      <c r="L25" s="102" t="s">
        <v>447</v>
      </c>
      <c r="M25" s="102"/>
      <c r="N25" s="102"/>
      <c r="O25" s="102"/>
      <c r="P25" s="25" t="s">
        <v>42</v>
      </c>
      <c r="Q25" s="25" t="s">
        <v>270</v>
      </c>
      <c r="R25" s="55">
        <v>100</v>
      </c>
      <c r="S25" s="55">
        <v>100</v>
      </c>
      <c r="T25" s="55">
        <v>63.14</v>
      </c>
      <c r="U25" s="59">
        <f>63.14</f>
        <v>63.14</v>
      </c>
    </row>
    <row r="26" spans="1:21" ht="98.25" customHeight="1" x14ac:dyDescent="0.2">
      <c r="A26" s="21"/>
      <c r="B26" s="24" t="s">
        <v>44</v>
      </c>
      <c r="C26" s="101" t="s">
        <v>448</v>
      </c>
      <c r="D26" s="101"/>
      <c r="E26" s="101"/>
      <c r="F26" s="101"/>
      <c r="G26" s="101"/>
      <c r="H26" s="101"/>
      <c r="I26" s="101" t="s">
        <v>449</v>
      </c>
      <c r="J26" s="101"/>
      <c r="K26" s="101"/>
      <c r="L26" s="102" t="s">
        <v>450</v>
      </c>
      <c r="M26" s="102"/>
      <c r="N26" s="102"/>
      <c r="O26" s="102"/>
      <c r="P26" s="25" t="s">
        <v>42</v>
      </c>
      <c r="Q26" s="25" t="s">
        <v>176</v>
      </c>
      <c r="R26" s="55">
        <v>100</v>
      </c>
      <c r="S26" s="55">
        <v>100</v>
      </c>
      <c r="T26" s="55">
        <v>124.73</v>
      </c>
      <c r="U26" s="59">
        <f>124.73</f>
        <v>124.73</v>
      </c>
    </row>
    <row r="27" spans="1:21" ht="92.25" customHeight="1" x14ac:dyDescent="0.2">
      <c r="A27" s="21"/>
      <c r="B27" s="24" t="s">
        <v>44</v>
      </c>
      <c r="C27" s="101" t="s">
        <v>44</v>
      </c>
      <c r="D27" s="101"/>
      <c r="E27" s="101"/>
      <c r="F27" s="101"/>
      <c r="G27" s="101"/>
      <c r="H27" s="101"/>
      <c r="I27" s="101" t="s">
        <v>451</v>
      </c>
      <c r="J27" s="101"/>
      <c r="K27" s="101"/>
      <c r="L27" s="102" t="s">
        <v>452</v>
      </c>
      <c r="M27" s="102"/>
      <c r="N27" s="102"/>
      <c r="O27" s="102"/>
      <c r="P27" s="25" t="s">
        <v>42</v>
      </c>
      <c r="Q27" s="25" t="s">
        <v>423</v>
      </c>
      <c r="R27" s="55">
        <v>80</v>
      </c>
      <c r="S27" s="55">
        <v>80</v>
      </c>
      <c r="T27" s="55">
        <v>87</v>
      </c>
      <c r="U27" s="59">
        <f>108.75</f>
        <v>108.75</v>
      </c>
    </row>
    <row r="28" spans="1:21" ht="75" customHeight="1" x14ac:dyDescent="0.2">
      <c r="A28" s="21"/>
      <c r="B28" s="24" t="s">
        <v>44</v>
      </c>
      <c r="C28" s="101" t="s">
        <v>44</v>
      </c>
      <c r="D28" s="101"/>
      <c r="E28" s="101"/>
      <c r="F28" s="101"/>
      <c r="G28" s="101"/>
      <c r="H28" s="101"/>
      <c r="I28" s="101" t="s">
        <v>453</v>
      </c>
      <c r="J28" s="101"/>
      <c r="K28" s="101"/>
      <c r="L28" s="102" t="s">
        <v>454</v>
      </c>
      <c r="M28" s="102"/>
      <c r="N28" s="102"/>
      <c r="O28" s="102"/>
      <c r="P28" s="25" t="s">
        <v>42</v>
      </c>
      <c r="Q28" s="25" t="s">
        <v>176</v>
      </c>
      <c r="R28" s="55">
        <v>100</v>
      </c>
      <c r="S28" s="55">
        <v>100</v>
      </c>
      <c r="T28" s="55">
        <v>100</v>
      </c>
      <c r="U28" s="59">
        <f>100</f>
        <v>100</v>
      </c>
    </row>
    <row r="29" spans="1:21" ht="114.75" customHeight="1" x14ac:dyDescent="0.2">
      <c r="A29" s="21"/>
      <c r="B29" s="24" t="s">
        <v>44</v>
      </c>
      <c r="C29" s="101" t="s">
        <v>455</v>
      </c>
      <c r="D29" s="101"/>
      <c r="E29" s="101"/>
      <c r="F29" s="101"/>
      <c r="G29" s="101"/>
      <c r="H29" s="101"/>
      <c r="I29" s="101" t="s">
        <v>456</v>
      </c>
      <c r="J29" s="101"/>
      <c r="K29" s="101"/>
      <c r="L29" s="102" t="s">
        <v>457</v>
      </c>
      <c r="M29" s="102"/>
      <c r="N29" s="102"/>
      <c r="O29" s="102"/>
      <c r="P29" s="25" t="s">
        <v>42</v>
      </c>
      <c r="Q29" s="25" t="s">
        <v>187</v>
      </c>
      <c r="R29" s="55">
        <v>80</v>
      </c>
      <c r="S29" s="55">
        <v>80</v>
      </c>
      <c r="T29" s="55">
        <v>64.39</v>
      </c>
      <c r="U29" s="59">
        <f>80.49</f>
        <v>80.489999999999995</v>
      </c>
    </row>
    <row r="30" spans="1:21" ht="166.5" customHeight="1" x14ac:dyDescent="0.2">
      <c r="A30" s="21"/>
      <c r="B30" s="24" t="s">
        <v>44</v>
      </c>
      <c r="C30" s="101" t="s">
        <v>458</v>
      </c>
      <c r="D30" s="101"/>
      <c r="E30" s="101"/>
      <c r="F30" s="101"/>
      <c r="G30" s="101"/>
      <c r="H30" s="101"/>
      <c r="I30" s="101" t="s">
        <v>459</v>
      </c>
      <c r="J30" s="101"/>
      <c r="K30" s="101"/>
      <c r="L30" s="102" t="s">
        <v>460</v>
      </c>
      <c r="M30" s="102"/>
      <c r="N30" s="102"/>
      <c r="O30" s="102"/>
      <c r="P30" s="25" t="s">
        <v>42</v>
      </c>
      <c r="Q30" s="25" t="s">
        <v>187</v>
      </c>
      <c r="R30" s="55">
        <v>20</v>
      </c>
      <c r="S30" s="55">
        <v>20</v>
      </c>
      <c r="T30" s="55">
        <v>12.34</v>
      </c>
      <c r="U30" s="59">
        <f>61.7</f>
        <v>61.7</v>
      </c>
    </row>
    <row r="31" spans="1:21" ht="175.5" customHeight="1" x14ac:dyDescent="0.2">
      <c r="A31" s="21"/>
      <c r="B31" s="24" t="s">
        <v>44</v>
      </c>
      <c r="C31" s="101" t="s">
        <v>44</v>
      </c>
      <c r="D31" s="101"/>
      <c r="E31" s="101"/>
      <c r="F31" s="101"/>
      <c r="G31" s="101"/>
      <c r="H31" s="101"/>
      <c r="I31" s="101" t="s">
        <v>461</v>
      </c>
      <c r="J31" s="101"/>
      <c r="K31" s="101"/>
      <c r="L31" s="102" t="s">
        <v>462</v>
      </c>
      <c r="M31" s="102"/>
      <c r="N31" s="102"/>
      <c r="O31" s="102"/>
      <c r="P31" s="25" t="s">
        <v>42</v>
      </c>
      <c r="Q31" s="25" t="s">
        <v>270</v>
      </c>
      <c r="R31" s="55">
        <v>100</v>
      </c>
      <c r="S31" s="55">
        <v>100</v>
      </c>
      <c r="T31" s="55">
        <v>95.99</v>
      </c>
      <c r="U31" s="59">
        <f>95.99</f>
        <v>95.99</v>
      </c>
    </row>
    <row r="32" spans="1:21" ht="123" customHeight="1" thickBot="1" x14ac:dyDescent="0.25">
      <c r="A32" s="21"/>
      <c r="B32" s="24" t="s">
        <v>44</v>
      </c>
      <c r="C32" s="101" t="s">
        <v>463</v>
      </c>
      <c r="D32" s="101"/>
      <c r="E32" s="101"/>
      <c r="F32" s="101"/>
      <c r="G32" s="101"/>
      <c r="H32" s="101"/>
      <c r="I32" s="101" t="s">
        <v>464</v>
      </c>
      <c r="J32" s="101"/>
      <c r="K32" s="101"/>
      <c r="L32" s="102" t="s">
        <v>465</v>
      </c>
      <c r="M32" s="102"/>
      <c r="N32" s="102"/>
      <c r="O32" s="102"/>
      <c r="P32" s="25" t="s">
        <v>138</v>
      </c>
      <c r="Q32" s="25" t="s">
        <v>176</v>
      </c>
      <c r="R32" s="55" t="s">
        <v>110</v>
      </c>
      <c r="S32" s="55">
        <v>3020</v>
      </c>
      <c r="T32" s="55">
        <v>2899</v>
      </c>
      <c r="U32" s="59">
        <f>95.99</f>
        <v>95.99</v>
      </c>
    </row>
    <row r="33" spans="2:22" ht="14.25" customHeight="1" thickTop="1" thickBot="1" x14ac:dyDescent="0.25">
      <c r="B33" s="4" t="s">
        <v>79</v>
      </c>
      <c r="C33" s="5"/>
      <c r="D33" s="5"/>
      <c r="E33" s="5"/>
      <c r="F33" s="5"/>
      <c r="G33" s="5"/>
      <c r="H33" s="6"/>
      <c r="I33" s="6"/>
      <c r="J33" s="6"/>
      <c r="K33" s="6"/>
      <c r="L33" s="6"/>
      <c r="M33" s="6"/>
      <c r="N33" s="6"/>
      <c r="O33" s="6"/>
      <c r="P33" s="6"/>
      <c r="Q33" s="6"/>
      <c r="R33" s="6"/>
      <c r="S33" s="6"/>
      <c r="T33" s="6"/>
      <c r="U33" s="7"/>
      <c r="V33" s="26"/>
    </row>
    <row r="34" spans="2:22" ht="26.25" customHeight="1" thickTop="1" x14ac:dyDescent="0.2">
      <c r="B34" s="27"/>
      <c r="C34" s="28"/>
      <c r="D34" s="28"/>
      <c r="E34" s="28"/>
      <c r="F34" s="28"/>
      <c r="G34" s="28"/>
      <c r="H34" s="29"/>
      <c r="I34" s="29"/>
      <c r="J34" s="29"/>
      <c r="K34" s="29"/>
      <c r="L34" s="29"/>
      <c r="M34" s="29"/>
      <c r="N34" s="29"/>
      <c r="O34" s="29"/>
      <c r="P34" s="29"/>
      <c r="Q34" s="29"/>
      <c r="R34" s="30"/>
      <c r="S34" s="31" t="s">
        <v>33</v>
      </c>
      <c r="T34" s="31" t="s">
        <v>80</v>
      </c>
      <c r="U34" s="18" t="s">
        <v>81</v>
      </c>
    </row>
    <row r="35" spans="2:22" ht="34.5" customHeight="1" thickBot="1" x14ac:dyDescent="0.25">
      <c r="B35" s="32"/>
      <c r="C35" s="33"/>
      <c r="D35" s="33"/>
      <c r="E35" s="33"/>
      <c r="F35" s="33"/>
      <c r="G35" s="33"/>
      <c r="H35" s="34"/>
      <c r="I35" s="34"/>
      <c r="J35" s="34"/>
      <c r="K35" s="34"/>
      <c r="L35" s="34"/>
      <c r="M35" s="34"/>
      <c r="N35" s="34"/>
      <c r="O35" s="34"/>
      <c r="P35" s="34"/>
      <c r="Q35" s="34"/>
      <c r="R35" s="34"/>
      <c r="S35" s="35" t="s">
        <v>82</v>
      </c>
      <c r="T35" s="36" t="s">
        <v>82</v>
      </c>
      <c r="U35" s="36" t="s">
        <v>83</v>
      </c>
    </row>
    <row r="36" spans="2:22" ht="24" customHeight="1" thickBot="1" x14ac:dyDescent="0.25">
      <c r="B36" s="106" t="s">
        <v>84</v>
      </c>
      <c r="C36" s="107"/>
      <c r="D36" s="107"/>
      <c r="E36" s="37"/>
      <c r="F36" s="37"/>
      <c r="G36" s="37"/>
      <c r="H36" s="38"/>
      <c r="I36" s="38"/>
      <c r="J36" s="38"/>
      <c r="K36" s="38"/>
      <c r="L36" s="38"/>
      <c r="M36" s="38"/>
      <c r="N36" s="38"/>
      <c r="O36" s="38"/>
      <c r="P36" s="39"/>
      <c r="Q36" s="39"/>
      <c r="R36" s="39"/>
      <c r="S36" s="63">
        <v>1035.01</v>
      </c>
      <c r="T36" s="63">
        <v>785.79</v>
      </c>
      <c r="U36" s="64">
        <f>+IF(ISERR(T36/S36*100),"N/A",ROUND(T36/S36*100,1))</f>
        <v>75.900000000000006</v>
      </c>
    </row>
    <row r="37" spans="2:22" ht="24" customHeight="1" thickBot="1" x14ac:dyDescent="0.25">
      <c r="B37" s="108" t="s">
        <v>85</v>
      </c>
      <c r="C37" s="109"/>
      <c r="D37" s="109"/>
      <c r="E37" s="40"/>
      <c r="F37" s="40"/>
      <c r="G37" s="40"/>
      <c r="H37" s="41"/>
      <c r="I37" s="41"/>
      <c r="J37" s="41"/>
      <c r="K37" s="41"/>
      <c r="L37" s="41"/>
      <c r="M37" s="41"/>
      <c r="N37" s="41"/>
      <c r="O37" s="41"/>
      <c r="P37" s="42"/>
      <c r="Q37" s="42"/>
      <c r="R37" s="42"/>
      <c r="S37" s="63">
        <v>785.79</v>
      </c>
      <c r="T37" s="63">
        <v>785.79</v>
      </c>
      <c r="U37" s="64">
        <f>+IF(ISERR(T37/S37*100),"N/A",ROUND(T37/S37*100,1))</f>
        <v>100</v>
      </c>
    </row>
    <row r="38" spans="2:22" ht="14.85" customHeight="1" thickTop="1" thickBot="1" x14ac:dyDescent="0.25">
      <c r="B38" s="4" t="s">
        <v>86</v>
      </c>
      <c r="C38" s="5"/>
      <c r="D38" s="5"/>
      <c r="E38" s="5"/>
      <c r="F38" s="5"/>
      <c r="G38" s="5"/>
      <c r="H38" s="6"/>
      <c r="I38" s="6"/>
      <c r="J38" s="6"/>
      <c r="K38" s="6"/>
      <c r="L38" s="6"/>
      <c r="M38" s="6"/>
      <c r="N38" s="6"/>
      <c r="O38" s="6"/>
      <c r="P38" s="6"/>
      <c r="Q38" s="6"/>
      <c r="R38" s="6"/>
      <c r="S38" s="6"/>
      <c r="T38" s="6"/>
      <c r="U38" s="7"/>
    </row>
    <row r="39" spans="2:22" ht="44.25" customHeight="1" thickTop="1" x14ac:dyDescent="0.2">
      <c r="B39" s="110" t="s">
        <v>87</v>
      </c>
      <c r="C39" s="111"/>
      <c r="D39" s="111"/>
      <c r="E39" s="111"/>
      <c r="F39" s="111"/>
      <c r="G39" s="111"/>
      <c r="H39" s="111"/>
      <c r="I39" s="111"/>
      <c r="J39" s="111"/>
      <c r="K39" s="111"/>
      <c r="L39" s="111"/>
      <c r="M39" s="111"/>
      <c r="N39" s="111"/>
      <c r="O39" s="111"/>
      <c r="P39" s="111"/>
      <c r="Q39" s="111"/>
      <c r="R39" s="111"/>
      <c r="S39" s="111"/>
      <c r="T39" s="111"/>
      <c r="U39" s="112"/>
    </row>
    <row r="40" spans="2:22" ht="116.45" customHeight="1" x14ac:dyDescent="0.2">
      <c r="B40" s="103" t="s">
        <v>466</v>
      </c>
      <c r="C40" s="104"/>
      <c r="D40" s="104"/>
      <c r="E40" s="104"/>
      <c r="F40" s="104"/>
      <c r="G40" s="104"/>
      <c r="H40" s="104"/>
      <c r="I40" s="104"/>
      <c r="J40" s="104"/>
      <c r="K40" s="104"/>
      <c r="L40" s="104"/>
      <c r="M40" s="104"/>
      <c r="N40" s="104"/>
      <c r="O40" s="104"/>
      <c r="P40" s="104"/>
      <c r="Q40" s="104"/>
      <c r="R40" s="104"/>
      <c r="S40" s="104"/>
      <c r="T40" s="104"/>
      <c r="U40" s="105"/>
    </row>
    <row r="41" spans="2:22" ht="97.5" customHeight="1" x14ac:dyDescent="0.2">
      <c r="B41" s="103" t="s">
        <v>467</v>
      </c>
      <c r="C41" s="104"/>
      <c r="D41" s="104"/>
      <c r="E41" s="104"/>
      <c r="F41" s="104"/>
      <c r="G41" s="104"/>
      <c r="H41" s="104"/>
      <c r="I41" s="104"/>
      <c r="J41" s="104"/>
      <c r="K41" s="104"/>
      <c r="L41" s="104"/>
      <c r="M41" s="104"/>
      <c r="N41" s="104"/>
      <c r="O41" s="104"/>
      <c r="P41" s="104"/>
      <c r="Q41" s="104"/>
      <c r="R41" s="104"/>
      <c r="S41" s="104"/>
      <c r="T41" s="104"/>
      <c r="U41" s="105"/>
    </row>
    <row r="42" spans="2:22" ht="54" customHeight="1" x14ac:dyDescent="0.2">
      <c r="B42" s="103" t="s">
        <v>468</v>
      </c>
      <c r="C42" s="104"/>
      <c r="D42" s="104"/>
      <c r="E42" s="104"/>
      <c r="F42" s="104"/>
      <c r="G42" s="104"/>
      <c r="H42" s="104"/>
      <c r="I42" s="104"/>
      <c r="J42" s="104"/>
      <c r="K42" s="104"/>
      <c r="L42" s="104"/>
      <c r="M42" s="104"/>
      <c r="N42" s="104"/>
      <c r="O42" s="104"/>
      <c r="P42" s="104"/>
      <c r="Q42" s="104"/>
      <c r="R42" s="104"/>
      <c r="S42" s="104"/>
      <c r="T42" s="104"/>
      <c r="U42" s="105"/>
    </row>
    <row r="43" spans="2:22" ht="94.5" customHeight="1" x14ac:dyDescent="0.2">
      <c r="B43" s="103" t="s">
        <v>469</v>
      </c>
      <c r="C43" s="104"/>
      <c r="D43" s="104"/>
      <c r="E43" s="104"/>
      <c r="F43" s="104"/>
      <c r="G43" s="104"/>
      <c r="H43" s="104"/>
      <c r="I43" s="104"/>
      <c r="J43" s="104"/>
      <c r="K43" s="104"/>
      <c r="L43" s="104"/>
      <c r="M43" s="104"/>
      <c r="N43" s="104"/>
      <c r="O43" s="104"/>
      <c r="P43" s="104"/>
      <c r="Q43" s="104"/>
      <c r="R43" s="104"/>
      <c r="S43" s="104"/>
      <c r="T43" s="104"/>
      <c r="U43" s="105"/>
    </row>
    <row r="44" spans="2:22" ht="135.75" customHeight="1" x14ac:dyDescent="0.2">
      <c r="B44" s="103" t="s">
        <v>470</v>
      </c>
      <c r="C44" s="104"/>
      <c r="D44" s="104"/>
      <c r="E44" s="104"/>
      <c r="F44" s="104"/>
      <c r="G44" s="104"/>
      <c r="H44" s="104"/>
      <c r="I44" s="104"/>
      <c r="J44" s="104"/>
      <c r="K44" s="104"/>
      <c r="L44" s="104"/>
      <c r="M44" s="104"/>
      <c r="N44" s="104"/>
      <c r="O44" s="104"/>
      <c r="P44" s="104"/>
      <c r="Q44" s="104"/>
      <c r="R44" s="104"/>
      <c r="S44" s="104"/>
      <c r="T44" s="104"/>
      <c r="U44" s="105"/>
    </row>
    <row r="45" spans="2:22" ht="95.1" customHeight="1" x14ac:dyDescent="0.2">
      <c r="B45" s="103" t="s">
        <v>471</v>
      </c>
      <c r="C45" s="104"/>
      <c r="D45" s="104"/>
      <c r="E45" s="104"/>
      <c r="F45" s="104"/>
      <c r="G45" s="104"/>
      <c r="H45" s="104"/>
      <c r="I45" s="104"/>
      <c r="J45" s="104"/>
      <c r="K45" s="104"/>
      <c r="L45" s="104"/>
      <c r="M45" s="104"/>
      <c r="N45" s="104"/>
      <c r="O45" s="104"/>
      <c r="P45" s="104"/>
      <c r="Q45" s="104"/>
      <c r="R45" s="104"/>
      <c r="S45" s="104"/>
      <c r="T45" s="104"/>
      <c r="U45" s="105"/>
    </row>
    <row r="46" spans="2:22" ht="60.75" customHeight="1" x14ac:dyDescent="0.2">
      <c r="B46" s="103" t="s">
        <v>472</v>
      </c>
      <c r="C46" s="104"/>
      <c r="D46" s="104"/>
      <c r="E46" s="104"/>
      <c r="F46" s="104"/>
      <c r="G46" s="104"/>
      <c r="H46" s="104"/>
      <c r="I46" s="104"/>
      <c r="J46" s="104"/>
      <c r="K46" s="104"/>
      <c r="L46" s="104"/>
      <c r="M46" s="104"/>
      <c r="N46" s="104"/>
      <c r="O46" s="104"/>
      <c r="P46" s="104"/>
      <c r="Q46" s="104"/>
      <c r="R46" s="104"/>
      <c r="S46" s="104"/>
      <c r="T46" s="104"/>
      <c r="U46" s="105"/>
    </row>
    <row r="47" spans="2:22" ht="115.5" customHeight="1" x14ac:dyDescent="0.2">
      <c r="B47" s="103" t="s">
        <v>473</v>
      </c>
      <c r="C47" s="104"/>
      <c r="D47" s="104"/>
      <c r="E47" s="104"/>
      <c r="F47" s="104"/>
      <c r="G47" s="104"/>
      <c r="H47" s="104"/>
      <c r="I47" s="104"/>
      <c r="J47" s="104"/>
      <c r="K47" s="104"/>
      <c r="L47" s="104"/>
      <c r="M47" s="104"/>
      <c r="N47" s="104"/>
      <c r="O47" s="104"/>
      <c r="P47" s="104"/>
      <c r="Q47" s="104"/>
      <c r="R47" s="104"/>
      <c r="S47" s="104"/>
      <c r="T47" s="104"/>
      <c r="U47" s="105"/>
    </row>
    <row r="48" spans="2:22" ht="57" customHeight="1" x14ac:dyDescent="0.2">
      <c r="B48" s="103" t="s">
        <v>474</v>
      </c>
      <c r="C48" s="104"/>
      <c r="D48" s="104"/>
      <c r="E48" s="104"/>
      <c r="F48" s="104"/>
      <c r="G48" s="104"/>
      <c r="H48" s="104"/>
      <c r="I48" s="104"/>
      <c r="J48" s="104"/>
      <c r="K48" s="104"/>
      <c r="L48" s="104"/>
      <c r="M48" s="104"/>
      <c r="N48" s="104"/>
      <c r="O48" s="104"/>
      <c r="P48" s="104"/>
      <c r="Q48" s="104"/>
      <c r="R48" s="104"/>
      <c r="S48" s="104"/>
      <c r="T48" s="104"/>
      <c r="U48" s="105"/>
    </row>
    <row r="49" spans="2:21" ht="75.75" customHeight="1" x14ac:dyDescent="0.2">
      <c r="B49" s="103" t="s">
        <v>475</v>
      </c>
      <c r="C49" s="104"/>
      <c r="D49" s="104"/>
      <c r="E49" s="104"/>
      <c r="F49" s="104"/>
      <c r="G49" s="104"/>
      <c r="H49" s="104"/>
      <c r="I49" s="104"/>
      <c r="J49" s="104"/>
      <c r="K49" s="104"/>
      <c r="L49" s="104"/>
      <c r="M49" s="104"/>
      <c r="N49" s="104"/>
      <c r="O49" s="104"/>
      <c r="P49" s="104"/>
      <c r="Q49" s="104"/>
      <c r="R49" s="104"/>
      <c r="S49" s="104"/>
      <c r="T49" s="104"/>
      <c r="U49" s="105"/>
    </row>
    <row r="50" spans="2:21" ht="123.2" customHeight="1" x14ac:dyDescent="0.2">
      <c r="B50" s="103" t="s">
        <v>476</v>
      </c>
      <c r="C50" s="104"/>
      <c r="D50" s="104"/>
      <c r="E50" s="104"/>
      <c r="F50" s="104"/>
      <c r="G50" s="104"/>
      <c r="H50" s="104"/>
      <c r="I50" s="104"/>
      <c r="J50" s="104"/>
      <c r="K50" s="104"/>
      <c r="L50" s="104"/>
      <c r="M50" s="104"/>
      <c r="N50" s="104"/>
      <c r="O50" s="104"/>
      <c r="P50" s="104"/>
      <c r="Q50" s="104"/>
      <c r="R50" s="104"/>
      <c r="S50" s="104"/>
      <c r="T50" s="104"/>
      <c r="U50" s="105"/>
    </row>
    <row r="51" spans="2:21" ht="61.5" customHeight="1" x14ac:dyDescent="0.2">
      <c r="B51" s="103" t="s">
        <v>477</v>
      </c>
      <c r="C51" s="104"/>
      <c r="D51" s="104"/>
      <c r="E51" s="104"/>
      <c r="F51" s="104"/>
      <c r="G51" s="104"/>
      <c r="H51" s="104"/>
      <c r="I51" s="104"/>
      <c r="J51" s="104"/>
      <c r="K51" s="104"/>
      <c r="L51" s="104"/>
      <c r="M51" s="104"/>
      <c r="N51" s="104"/>
      <c r="O51" s="104"/>
      <c r="P51" s="104"/>
      <c r="Q51" s="104"/>
      <c r="R51" s="104"/>
      <c r="S51" s="104"/>
      <c r="T51" s="104"/>
      <c r="U51" s="105"/>
    </row>
    <row r="52" spans="2:21" ht="43.5" customHeight="1" x14ac:dyDescent="0.2">
      <c r="B52" s="103" t="s">
        <v>478</v>
      </c>
      <c r="C52" s="104"/>
      <c r="D52" s="104"/>
      <c r="E52" s="104"/>
      <c r="F52" s="104"/>
      <c r="G52" s="104"/>
      <c r="H52" s="104"/>
      <c r="I52" s="104"/>
      <c r="J52" s="104"/>
      <c r="K52" s="104"/>
      <c r="L52" s="104"/>
      <c r="M52" s="104"/>
      <c r="N52" s="104"/>
      <c r="O52" s="104"/>
      <c r="P52" s="104"/>
      <c r="Q52" s="104"/>
      <c r="R52" s="104"/>
      <c r="S52" s="104"/>
      <c r="T52" s="104"/>
      <c r="U52" s="105"/>
    </row>
    <row r="53" spans="2:21" ht="57.75" customHeight="1" x14ac:dyDescent="0.2">
      <c r="B53" s="103" t="s">
        <v>479</v>
      </c>
      <c r="C53" s="104"/>
      <c r="D53" s="104"/>
      <c r="E53" s="104"/>
      <c r="F53" s="104"/>
      <c r="G53" s="104"/>
      <c r="H53" s="104"/>
      <c r="I53" s="104"/>
      <c r="J53" s="104"/>
      <c r="K53" s="104"/>
      <c r="L53" s="104"/>
      <c r="M53" s="104"/>
      <c r="N53" s="104"/>
      <c r="O53" s="104"/>
      <c r="P53" s="104"/>
      <c r="Q53" s="104"/>
      <c r="R53" s="104"/>
      <c r="S53" s="104"/>
      <c r="T53" s="104"/>
      <c r="U53" s="105"/>
    </row>
    <row r="54" spans="2:21" ht="63.75" customHeight="1" x14ac:dyDescent="0.2">
      <c r="B54" s="103" t="s">
        <v>480</v>
      </c>
      <c r="C54" s="104"/>
      <c r="D54" s="104"/>
      <c r="E54" s="104"/>
      <c r="F54" s="104"/>
      <c r="G54" s="104"/>
      <c r="H54" s="104"/>
      <c r="I54" s="104"/>
      <c r="J54" s="104"/>
      <c r="K54" s="104"/>
      <c r="L54" s="104"/>
      <c r="M54" s="104"/>
      <c r="N54" s="104"/>
      <c r="O54" s="104"/>
      <c r="P54" s="104"/>
      <c r="Q54" s="104"/>
      <c r="R54" s="104"/>
      <c r="S54" s="104"/>
      <c r="T54" s="104"/>
      <c r="U54" s="105"/>
    </row>
    <row r="55" spans="2:21" ht="68.25" customHeight="1" x14ac:dyDescent="0.2">
      <c r="B55" s="103" t="s">
        <v>481</v>
      </c>
      <c r="C55" s="104"/>
      <c r="D55" s="104"/>
      <c r="E55" s="104"/>
      <c r="F55" s="104"/>
      <c r="G55" s="104"/>
      <c r="H55" s="104"/>
      <c r="I55" s="104"/>
      <c r="J55" s="104"/>
      <c r="K55" s="104"/>
      <c r="L55" s="104"/>
      <c r="M55" s="104"/>
      <c r="N55" s="104"/>
      <c r="O55" s="104"/>
      <c r="P55" s="104"/>
      <c r="Q55" s="104"/>
      <c r="R55" s="104"/>
      <c r="S55" s="104"/>
      <c r="T55" s="104"/>
      <c r="U55" s="105"/>
    </row>
    <row r="56" spans="2:21" ht="67.5" customHeight="1" x14ac:dyDescent="0.2">
      <c r="B56" s="103" t="s">
        <v>482</v>
      </c>
      <c r="C56" s="104"/>
      <c r="D56" s="104"/>
      <c r="E56" s="104"/>
      <c r="F56" s="104"/>
      <c r="G56" s="104"/>
      <c r="H56" s="104"/>
      <c r="I56" s="104"/>
      <c r="J56" s="104"/>
      <c r="K56" s="104"/>
      <c r="L56" s="104"/>
      <c r="M56" s="104"/>
      <c r="N56" s="104"/>
      <c r="O56" s="104"/>
      <c r="P56" s="104"/>
      <c r="Q56" s="104"/>
      <c r="R56" s="104"/>
      <c r="S56" s="104"/>
      <c r="T56" s="104"/>
      <c r="U56" s="105"/>
    </row>
    <row r="57" spans="2:21" ht="47.25" customHeight="1" x14ac:dyDescent="0.2">
      <c r="B57" s="103" t="s">
        <v>483</v>
      </c>
      <c r="C57" s="104"/>
      <c r="D57" s="104"/>
      <c r="E57" s="104"/>
      <c r="F57" s="104"/>
      <c r="G57" s="104"/>
      <c r="H57" s="104"/>
      <c r="I57" s="104"/>
      <c r="J57" s="104"/>
      <c r="K57" s="104"/>
      <c r="L57" s="104"/>
      <c r="M57" s="104"/>
      <c r="N57" s="104"/>
      <c r="O57" s="104"/>
      <c r="P57" s="104"/>
      <c r="Q57" s="104"/>
      <c r="R57" s="104"/>
      <c r="S57" s="104"/>
      <c r="T57" s="104"/>
      <c r="U57" s="105"/>
    </row>
    <row r="58" spans="2:21" ht="96.75" customHeight="1" x14ac:dyDescent="0.2">
      <c r="B58" s="103" t="s">
        <v>484</v>
      </c>
      <c r="C58" s="104"/>
      <c r="D58" s="104"/>
      <c r="E58" s="104"/>
      <c r="F58" s="104"/>
      <c r="G58" s="104"/>
      <c r="H58" s="104"/>
      <c r="I58" s="104"/>
      <c r="J58" s="104"/>
      <c r="K58" s="104"/>
      <c r="L58" s="104"/>
      <c r="M58" s="104"/>
      <c r="N58" s="104"/>
      <c r="O58" s="104"/>
      <c r="P58" s="104"/>
      <c r="Q58" s="104"/>
      <c r="R58" s="104"/>
      <c r="S58" s="104"/>
      <c r="T58" s="104"/>
      <c r="U58" s="105"/>
    </row>
    <row r="59" spans="2:21" ht="96.75" customHeight="1" x14ac:dyDescent="0.2">
      <c r="B59" s="103" t="s">
        <v>485</v>
      </c>
      <c r="C59" s="104"/>
      <c r="D59" s="104"/>
      <c r="E59" s="104"/>
      <c r="F59" s="104"/>
      <c r="G59" s="104"/>
      <c r="H59" s="104"/>
      <c r="I59" s="104"/>
      <c r="J59" s="104"/>
      <c r="K59" s="104"/>
      <c r="L59" s="104"/>
      <c r="M59" s="104"/>
      <c r="N59" s="104"/>
      <c r="O59" s="104"/>
      <c r="P59" s="104"/>
      <c r="Q59" s="104"/>
      <c r="R59" s="104"/>
      <c r="S59" s="104"/>
      <c r="T59" s="104"/>
      <c r="U59" s="105"/>
    </row>
    <row r="60" spans="2:21" ht="55.5" customHeight="1" x14ac:dyDescent="0.2">
      <c r="B60" s="103" t="s">
        <v>486</v>
      </c>
      <c r="C60" s="104"/>
      <c r="D60" s="104"/>
      <c r="E60" s="104"/>
      <c r="F60" s="104"/>
      <c r="G60" s="104"/>
      <c r="H60" s="104"/>
      <c r="I60" s="104"/>
      <c r="J60" s="104"/>
      <c r="K60" s="104"/>
      <c r="L60" s="104"/>
      <c r="M60" s="104"/>
      <c r="N60" s="104"/>
      <c r="O60" s="104"/>
      <c r="P60" s="104"/>
      <c r="Q60" s="104"/>
      <c r="R60" s="104"/>
      <c r="S60" s="104"/>
      <c r="T60" s="104"/>
      <c r="U60" s="105"/>
    </row>
    <row r="61" spans="2:21" ht="66.75" customHeight="1" thickBot="1" x14ac:dyDescent="0.25">
      <c r="B61" s="113" t="s">
        <v>487</v>
      </c>
      <c r="C61" s="114"/>
      <c r="D61" s="114"/>
      <c r="E61" s="114"/>
      <c r="F61" s="114"/>
      <c r="G61" s="114"/>
      <c r="H61" s="114"/>
      <c r="I61" s="114"/>
      <c r="J61" s="114"/>
      <c r="K61" s="114"/>
      <c r="L61" s="114"/>
      <c r="M61" s="114"/>
      <c r="N61" s="114"/>
      <c r="O61" s="114"/>
      <c r="P61" s="114"/>
      <c r="Q61" s="114"/>
      <c r="R61" s="114"/>
      <c r="S61" s="114"/>
      <c r="T61" s="114"/>
      <c r="U61" s="115"/>
    </row>
  </sheetData>
  <mergeCells count="112">
    <mergeCell ref="B58:U58"/>
    <mergeCell ref="B59:U59"/>
    <mergeCell ref="B60:U60"/>
    <mergeCell ref="B61:U61"/>
    <mergeCell ref="B52:U52"/>
    <mergeCell ref="B53:U53"/>
    <mergeCell ref="B54:U54"/>
    <mergeCell ref="B55:U55"/>
    <mergeCell ref="B56:U56"/>
    <mergeCell ref="B57:U57"/>
    <mergeCell ref="B46:U46"/>
    <mergeCell ref="B47:U47"/>
    <mergeCell ref="B48:U48"/>
    <mergeCell ref="B49:U49"/>
    <mergeCell ref="B50:U50"/>
    <mergeCell ref="B51:U51"/>
    <mergeCell ref="B40:U40"/>
    <mergeCell ref="B41:U41"/>
    <mergeCell ref="B42:U42"/>
    <mergeCell ref="B43:U43"/>
    <mergeCell ref="B44:U44"/>
    <mergeCell ref="B45:U45"/>
    <mergeCell ref="C32:H32"/>
    <mergeCell ref="I32:K32"/>
    <mergeCell ref="L32:O32"/>
    <mergeCell ref="B36:D36"/>
    <mergeCell ref="B37:D37"/>
    <mergeCell ref="B39:U39"/>
    <mergeCell ref="C30:H30"/>
    <mergeCell ref="I30:K30"/>
    <mergeCell ref="L30:O30"/>
    <mergeCell ref="C31:H31"/>
    <mergeCell ref="I31:K31"/>
    <mergeCell ref="L31:O31"/>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7:H17"/>
    <mergeCell ref="I17:K17"/>
    <mergeCell ref="L17:O17"/>
    <mergeCell ref="C14:H14"/>
    <mergeCell ref="I14:K14"/>
    <mergeCell ref="L14:O14"/>
    <mergeCell ref="C15:H15"/>
    <mergeCell ref="I15:K15"/>
    <mergeCell ref="L15:O15"/>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topLeftCell="J22" zoomScale="80" zoomScaleNormal="80" zoomScaleSheetLayoutView="80" workbookViewId="0">
      <selection activeCell="B34" sqref="B34:U34"/>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4" t="s">
        <v>6</v>
      </c>
      <c r="C4" s="45" t="s">
        <v>488</v>
      </c>
      <c r="D4" s="116" t="s">
        <v>489</v>
      </c>
      <c r="E4" s="116"/>
      <c r="F4" s="116"/>
      <c r="G4" s="116"/>
      <c r="H4" s="116"/>
      <c r="I4" s="46"/>
      <c r="J4" s="47" t="s">
        <v>9</v>
      </c>
      <c r="K4" s="48" t="s">
        <v>10</v>
      </c>
      <c r="L4" s="117" t="s">
        <v>11</v>
      </c>
      <c r="M4" s="117"/>
      <c r="N4" s="117"/>
      <c r="O4" s="117"/>
      <c r="P4" s="47" t="s">
        <v>12</v>
      </c>
      <c r="Q4" s="117" t="s">
        <v>490</v>
      </c>
      <c r="R4" s="117"/>
      <c r="S4" s="47" t="s">
        <v>14</v>
      </c>
      <c r="T4" s="117"/>
      <c r="U4" s="118"/>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55.5" customHeight="1" thickBot="1" x14ac:dyDescent="0.25">
      <c r="B6" s="49" t="s">
        <v>16</v>
      </c>
      <c r="C6" s="119" t="s">
        <v>102</v>
      </c>
      <c r="D6" s="119"/>
      <c r="E6" s="119"/>
      <c r="F6" s="119"/>
      <c r="G6" s="119"/>
      <c r="H6" s="50"/>
      <c r="I6" s="50"/>
      <c r="J6" s="50" t="s">
        <v>18</v>
      </c>
      <c r="K6" s="119" t="s">
        <v>103</v>
      </c>
      <c r="L6" s="119"/>
      <c r="M6" s="119"/>
      <c r="N6" s="51"/>
      <c r="O6" s="50" t="s">
        <v>20</v>
      </c>
      <c r="P6" s="119" t="s">
        <v>213</v>
      </c>
      <c r="Q6" s="119"/>
      <c r="R6" s="52"/>
      <c r="S6" s="50" t="s">
        <v>22</v>
      </c>
      <c r="T6" s="119" t="s">
        <v>491</v>
      </c>
      <c r="U6" s="12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75" customHeight="1" thickTop="1" thickBot="1" x14ac:dyDescent="0.25">
      <c r="A11" s="21"/>
      <c r="B11" s="22" t="s">
        <v>38</v>
      </c>
      <c r="C11" s="99" t="s">
        <v>492</v>
      </c>
      <c r="D11" s="99"/>
      <c r="E11" s="99"/>
      <c r="F11" s="99"/>
      <c r="G11" s="99"/>
      <c r="H11" s="99"/>
      <c r="I11" s="99" t="s">
        <v>493</v>
      </c>
      <c r="J11" s="99"/>
      <c r="K11" s="99"/>
      <c r="L11" s="100" t="s">
        <v>494</v>
      </c>
      <c r="M11" s="100"/>
      <c r="N11" s="100"/>
      <c r="O11" s="100"/>
      <c r="P11" s="23" t="s">
        <v>42</v>
      </c>
      <c r="Q11" s="23" t="s">
        <v>129</v>
      </c>
      <c r="R11" s="53">
        <v>8.75</v>
      </c>
      <c r="S11" s="53">
        <v>7.2</v>
      </c>
      <c r="T11" s="53">
        <v>7.18</v>
      </c>
      <c r="U11" s="58">
        <f>99.72</f>
        <v>99.72</v>
      </c>
    </row>
    <row r="12" spans="1:21" ht="81.75" customHeight="1" thickTop="1" x14ac:dyDescent="0.2">
      <c r="A12" s="21"/>
      <c r="B12" s="22" t="s">
        <v>47</v>
      </c>
      <c r="C12" s="99" t="s">
        <v>495</v>
      </c>
      <c r="D12" s="99"/>
      <c r="E12" s="99"/>
      <c r="F12" s="99"/>
      <c r="G12" s="99"/>
      <c r="H12" s="99"/>
      <c r="I12" s="99" t="s">
        <v>496</v>
      </c>
      <c r="J12" s="99"/>
      <c r="K12" s="99"/>
      <c r="L12" s="100" t="s">
        <v>497</v>
      </c>
      <c r="M12" s="100"/>
      <c r="N12" s="100"/>
      <c r="O12" s="100"/>
      <c r="P12" s="23" t="s">
        <v>42</v>
      </c>
      <c r="Q12" s="23" t="s">
        <v>129</v>
      </c>
      <c r="R12" s="53" t="s">
        <v>110</v>
      </c>
      <c r="S12" s="53">
        <v>42.35</v>
      </c>
      <c r="T12" s="53">
        <v>60.82</v>
      </c>
      <c r="U12" s="58">
        <f>143.61</f>
        <v>143.61000000000001</v>
      </c>
    </row>
    <row r="13" spans="1:21" ht="88.5" customHeight="1" thickBot="1" x14ac:dyDescent="0.25">
      <c r="A13" s="21"/>
      <c r="B13" s="24" t="s">
        <v>44</v>
      </c>
      <c r="C13" s="101" t="s">
        <v>44</v>
      </c>
      <c r="D13" s="101"/>
      <c r="E13" s="101"/>
      <c r="F13" s="101"/>
      <c r="G13" s="101"/>
      <c r="H13" s="101"/>
      <c r="I13" s="101" t="s">
        <v>498</v>
      </c>
      <c r="J13" s="101"/>
      <c r="K13" s="101"/>
      <c r="L13" s="102" t="s">
        <v>499</v>
      </c>
      <c r="M13" s="102"/>
      <c r="N13" s="102"/>
      <c r="O13" s="102"/>
      <c r="P13" s="25" t="s">
        <v>42</v>
      </c>
      <c r="Q13" s="25" t="s">
        <v>129</v>
      </c>
      <c r="R13" s="55" t="s">
        <v>110</v>
      </c>
      <c r="S13" s="55">
        <v>12.27</v>
      </c>
      <c r="T13" s="55">
        <v>12.25</v>
      </c>
      <c r="U13" s="59">
        <f>99.84</f>
        <v>99.84</v>
      </c>
    </row>
    <row r="14" spans="1:21" ht="84.75" customHeight="1" thickTop="1" x14ac:dyDescent="0.2">
      <c r="A14" s="21"/>
      <c r="B14" s="22" t="s">
        <v>54</v>
      </c>
      <c r="C14" s="99" t="s">
        <v>500</v>
      </c>
      <c r="D14" s="99"/>
      <c r="E14" s="99"/>
      <c r="F14" s="99"/>
      <c r="G14" s="99"/>
      <c r="H14" s="99"/>
      <c r="I14" s="99" t="s">
        <v>501</v>
      </c>
      <c r="J14" s="99"/>
      <c r="K14" s="99"/>
      <c r="L14" s="100" t="s">
        <v>502</v>
      </c>
      <c r="M14" s="100"/>
      <c r="N14" s="100"/>
      <c r="O14" s="100"/>
      <c r="P14" s="23" t="s">
        <v>42</v>
      </c>
      <c r="Q14" s="23" t="s">
        <v>270</v>
      </c>
      <c r="R14" s="53" t="s">
        <v>110</v>
      </c>
      <c r="S14" s="53">
        <v>100</v>
      </c>
      <c r="T14" s="53">
        <v>11.83</v>
      </c>
      <c r="U14" s="58">
        <f>11.83</f>
        <v>11.83</v>
      </c>
    </row>
    <row r="15" spans="1:21" ht="75" customHeight="1" x14ac:dyDescent="0.2">
      <c r="A15" s="21"/>
      <c r="B15" s="24" t="s">
        <v>44</v>
      </c>
      <c r="C15" s="101" t="s">
        <v>503</v>
      </c>
      <c r="D15" s="101"/>
      <c r="E15" s="101"/>
      <c r="F15" s="101"/>
      <c r="G15" s="101"/>
      <c r="H15" s="101"/>
      <c r="I15" s="101" t="s">
        <v>504</v>
      </c>
      <c r="J15" s="101"/>
      <c r="K15" s="101"/>
      <c r="L15" s="102" t="s">
        <v>505</v>
      </c>
      <c r="M15" s="102"/>
      <c r="N15" s="102"/>
      <c r="O15" s="102"/>
      <c r="P15" s="25" t="s">
        <v>42</v>
      </c>
      <c r="Q15" s="25" t="s">
        <v>270</v>
      </c>
      <c r="R15" s="55" t="s">
        <v>110</v>
      </c>
      <c r="S15" s="55">
        <v>47.33</v>
      </c>
      <c r="T15" s="55">
        <v>42.36</v>
      </c>
      <c r="U15" s="59">
        <f>89.5</f>
        <v>89.5</v>
      </c>
    </row>
    <row r="16" spans="1:21" ht="93" customHeight="1" x14ac:dyDescent="0.2">
      <c r="A16" s="21"/>
      <c r="B16" s="24" t="s">
        <v>44</v>
      </c>
      <c r="C16" s="101" t="s">
        <v>44</v>
      </c>
      <c r="D16" s="101"/>
      <c r="E16" s="101"/>
      <c r="F16" s="101"/>
      <c r="G16" s="101"/>
      <c r="H16" s="101"/>
      <c r="I16" s="101" t="s">
        <v>506</v>
      </c>
      <c r="J16" s="101"/>
      <c r="K16" s="101"/>
      <c r="L16" s="102" t="s">
        <v>507</v>
      </c>
      <c r="M16" s="102"/>
      <c r="N16" s="102"/>
      <c r="O16" s="102"/>
      <c r="P16" s="25" t="s">
        <v>42</v>
      </c>
      <c r="Q16" s="25" t="s">
        <v>270</v>
      </c>
      <c r="R16" s="55" t="s">
        <v>110</v>
      </c>
      <c r="S16" s="55">
        <v>20.43</v>
      </c>
      <c r="T16" s="55">
        <v>21.26</v>
      </c>
      <c r="U16" s="59">
        <f>104.06</f>
        <v>104.06</v>
      </c>
    </row>
    <row r="17" spans="1:22" ht="93" customHeight="1" x14ac:dyDescent="0.2">
      <c r="A17" s="21"/>
      <c r="B17" s="24" t="s">
        <v>44</v>
      </c>
      <c r="C17" s="101" t="s">
        <v>44</v>
      </c>
      <c r="D17" s="101"/>
      <c r="E17" s="101"/>
      <c r="F17" s="101"/>
      <c r="G17" s="101"/>
      <c r="H17" s="101"/>
      <c r="I17" s="101" t="s">
        <v>508</v>
      </c>
      <c r="J17" s="101"/>
      <c r="K17" s="101"/>
      <c r="L17" s="102" t="s">
        <v>509</v>
      </c>
      <c r="M17" s="102"/>
      <c r="N17" s="102"/>
      <c r="O17" s="102"/>
      <c r="P17" s="25" t="s">
        <v>42</v>
      </c>
      <c r="Q17" s="25" t="s">
        <v>270</v>
      </c>
      <c r="R17" s="55" t="s">
        <v>110</v>
      </c>
      <c r="S17" s="55">
        <v>47.59</v>
      </c>
      <c r="T17" s="55">
        <v>49.37</v>
      </c>
      <c r="U17" s="59">
        <f>103.74</f>
        <v>103.74</v>
      </c>
    </row>
    <row r="18" spans="1:22" ht="93" customHeight="1" x14ac:dyDescent="0.2">
      <c r="A18" s="21"/>
      <c r="B18" s="24" t="s">
        <v>44</v>
      </c>
      <c r="C18" s="101" t="s">
        <v>44</v>
      </c>
      <c r="D18" s="101"/>
      <c r="E18" s="101"/>
      <c r="F18" s="101"/>
      <c r="G18" s="101"/>
      <c r="H18" s="101"/>
      <c r="I18" s="101" t="s">
        <v>510</v>
      </c>
      <c r="J18" s="101"/>
      <c r="K18" s="101"/>
      <c r="L18" s="102" t="s">
        <v>511</v>
      </c>
      <c r="M18" s="102"/>
      <c r="N18" s="102"/>
      <c r="O18" s="102"/>
      <c r="P18" s="25" t="s">
        <v>42</v>
      </c>
      <c r="Q18" s="25" t="s">
        <v>270</v>
      </c>
      <c r="R18" s="55" t="s">
        <v>110</v>
      </c>
      <c r="S18" s="55">
        <v>42.61</v>
      </c>
      <c r="T18" s="55">
        <v>28.36</v>
      </c>
      <c r="U18" s="59">
        <f>66.56</f>
        <v>66.56</v>
      </c>
    </row>
    <row r="19" spans="1:22" ht="93" customHeight="1" x14ac:dyDescent="0.2">
      <c r="A19" s="21"/>
      <c r="B19" s="24" t="s">
        <v>44</v>
      </c>
      <c r="C19" s="101" t="s">
        <v>44</v>
      </c>
      <c r="D19" s="101"/>
      <c r="E19" s="101"/>
      <c r="F19" s="101"/>
      <c r="G19" s="101"/>
      <c r="H19" s="101"/>
      <c r="I19" s="101" t="s">
        <v>512</v>
      </c>
      <c r="J19" s="101"/>
      <c r="K19" s="101"/>
      <c r="L19" s="102" t="s">
        <v>513</v>
      </c>
      <c r="M19" s="102"/>
      <c r="N19" s="102"/>
      <c r="O19" s="102"/>
      <c r="P19" s="25" t="s">
        <v>42</v>
      </c>
      <c r="Q19" s="25" t="s">
        <v>270</v>
      </c>
      <c r="R19" s="55" t="s">
        <v>110</v>
      </c>
      <c r="S19" s="55">
        <v>100</v>
      </c>
      <c r="T19" s="55">
        <v>48.01</v>
      </c>
      <c r="U19" s="59">
        <f>48.01</f>
        <v>48.01</v>
      </c>
    </row>
    <row r="20" spans="1:22" ht="93" customHeight="1" x14ac:dyDescent="0.2">
      <c r="A20" s="21"/>
      <c r="B20" s="24" t="s">
        <v>44</v>
      </c>
      <c r="C20" s="101" t="s">
        <v>44</v>
      </c>
      <c r="D20" s="101"/>
      <c r="E20" s="101"/>
      <c r="F20" s="101"/>
      <c r="G20" s="101"/>
      <c r="H20" s="101"/>
      <c r="I20" s="101" t="s">
        <v>514</v>
      </c>
      <c r="J20" s="101"/>
      <c r="K20" s="101"/>
      <c r="L20" s="102" t="s">
        <v>515</v>
      </c>
      <c r="M20" s="102"/>
      <c r="N20" s="102"/>
      <c r="O20" s="102"/>
      <c r="P20" s="25" t="s">
        <v>42</v>
      </c>
      <c r="Q20" s="25" t="s">
        <v>516</v>
      </c>
      <c r="R20" s="55">
        <v>5.18</v>
      </c>
      <c r="S20" s="55">
        <v>2.82</v>
      </c>
      <c r="T20" s="55">
        <v>3.97</v>
      </c>
      <c r="U20" s="59">
        <f>140.78</f>
        <v>140.78</v>
      </c>
    </row>
    <row r="21" spans="1:22" ht="93" customHeight="1" x14ac:dyDescent="0.2">
      <c r="A21" s="21"/>
      <c r="B21" s="24" t="s">
        <v>44</v>
      </c>
      <c r="C21" s="101" t="s">
        <v>517</v>
      </c>
      <c r="D21" s="101"/>
      <c r="E21" s="101"/>
      <c r="F21" s="101"/>
      <c r="G21" s="101"/>
      <c r="H21" s="101"/>
      <c r="I21" s="101" t="s">
        <v>518</v>
      </c>
      <c r="J21" s="101"/>
      <c r="K21" s="101"/>
      <c r="L21" s="102" t="s">
        <v>519</v>
      </c>
      <c r="M21" s="102"/>
      <c r="N21" s="102"/>
      <c r="O21" s="102"/>
      <c r="P21" s="25" t="s">
        <v>42</v>
      </c>
      <c r="Q21" s="25" t="s">
        <v>516</v>
      </c>
      <c r="R21" s="55">
        <v>0.55000000000000004</v>
      </c>
      <c r="S21" s="55">
        <v>0.98</v>
      </c>
      <c r="T21" s="55">
        <v>0.37</v>
      </c>
      <c r="U21" s="59">
        <f>37.76</f>
        <v>37.76</v>
      </c>
    </row>
    <row r="22" spans="1:22" ht="93" customHeight="1" thickBot="1" x14ac:dyDescent="0.25">
      <c r="A22" s="21"/>
      <c r="B22" s="24" t="s">
        <v>44</v>
      </c>
      <c r="C22" s="101" t="s">
        <v>44</v>
      </c>
      <c r="D22" s="101"/>
      <c r="E22" s="101"/>
      <c r="F22" s="101"/>
      <c r="G22" s="101"/>
      <c r="H22" s="101"/>
      <c r="I22" s="101" t="s">
        <v>520</v>
      </c>
      <c r="J22" s="101"/>
      <c r="K22" s="101"/>
      <c r="L22" s="102" t="s">
        <v>521</v>
      </c>
      <c r="M22" s="102"/>
      <c r="N22" s="102"/>
      <c r="O22" s="102"/>
      <c r="P22" s="25" t="s">
        <v>42</v>
      </c>
      <c r="Q22" s="25" t="s">
        <v>270</v>
      </c>
      <c r="R22" s="55" t="s">
        <v>110</v>
      </c>
      <c r="S22" s="55">
        <v>39.159999999999997</v>
      </c>
      <c r="T22" s="55">
        <v>40</v>
      </c>
      <c r="U22" s="59">
        <f>102.15</f>
        <v>102.15</v>
      </c>
    </row>
    <row r="23" spans="1:22" ht="75" customHeight="1" thickTop="1" x14ac:dyDescent="0.2">
      <c r="A23" s="21"/>
      <c r="B23" s="22" t="s">
        <v>62</v>
      </c>
      <c r="C23" s="99" t="s">
        <v>522</v>
      </c>
      <c r="D23" s="99"/>
      <c r="E23" s="99"/>
      <c r="F23" s="99"/>
      <c r="G23" s="99"/>
      <c r="H23" s="99"/>
      <c r="I23" s="99" t="s">
        <v>523</v>
      </c>
      <c r="J23" s="99"/>
      <c r="K23" s="99"/>
      <c r="L23" s="100" t="s">
        <v>524</v>
      </c>
      <c r="M23" s="100"/>
      <c r="N23" s="100"/>
      <c r="O23" s="100"/>
      <c r="P23" s="23" t="s">
        <v>525</v>
      </c>
      <c r="Q23" s="23" t="s">
        <v>176</v>
      </c>
      <c r="R23" s="53" t="s">
        <v>110</v>
      </c>
      <c r="S23" s="53">
        <v>70.209999999999994</v>
      </c>
      <c r="T23" s="53">
        <v>93.62</v>
      </c>
      <c r="U23" s="58">
        <f>133.34</f>
        <v>133.34</v>
      </c>
    </row>
    <row r="24" spans="1:22" ht="75" customHeight="1" x14ac:dyDescent="0.2">
      <c r="A24" s="21"/>
      <c r="B24" s="24" t="s">
        <v>44</v>
      </c>
      <c r="C24" s="101" t="s">
        <v>526</v>
      </c>
      <c r="D24" s="101"/>
      <c r="E24" s="101"/>
      <c r="F24" s="101"/>
      <c r="G24" s="101"/>
      <c r="H24" s="101"/>
      <c r="I24" s="101" t="s">
        <v>527</v>
      </c>
      <c r="J24" s="101"/>
      <c r="K24" s="101"/>
      <c r="L24" s="102" t="s">
        <v>528</v>
      </c>
      <c r="M24" s="102"/>
      <c r="N24" s="102"/>
      <c r="O24" s="102"/>
      <c r="P24" s="25" t="s">
        <v>186</v>
      </c>
      <c r="Q24" s="25" t="s">
        <v>270</v>
      </c>
      <c r="R24" s="55" t="s">
        <v>110</v>
      </c>
      <c r="S24" s="55">
        <v>1290</v>
      </c>
      <c r="T24" s="55">
        <v>573.66</v>
      </c>
      <c r="U24" s="59">
        <f>44.47</f>
        <v>44.47</v>
      </c>
    </row>
    <row r="25" spans="1:22" ht="98.25" customHeight="1" x14ac:dyDescent="0.2">
      <c r="A25" s="21"/>
      <c r="B25" s="24" t="s">
        <v>44</v>
      </c>
      <c r="C25" s="101" t="s">
        <v>44</v>
      </c>
      <c r="D25" s="101"/>
      <c r="E25" s="101"/>
      <c r="F25" s="101"/>
      <c r="G25" s="101"/>
      <c r="H25" s="101"/>
      <c r="I25" s="101" t="s">
        <v>529</v>
      </c>
      <c r="J25" s="101"/>
      <c r="K25" s="101"/>
      <c r="L25" s="102" t="s">
        <v>530</v>
      </c>
      <c r="M25" s="102"/>
      <c r="N25" s="102"/>
      <c r="O25" s="102"/>
      <c r="P25" s="25" t="s">
        <v>186</v>
      </c>
      <c r="Q25" s="25" t="s">
        <v>270</v>
      </c>
      <c r="R25" s="55" t="s">
        <v>110</v>
      </c>
      <c r="S25" s="55">
        <v>3.7</v>
      </c>
      <c r="T25" s="55">
        <v>3.4</v>
      </c>
      <c r="U25" s="59">
        <f>91.89</f>
        <v>91.89</v>
      </c>
    </row>
    <row r="26" spans="1:22" ht="98.25" customHeight="1" thickBot="1" x14ac:dyDescent="0.25">
      <c r="A26" s="21"/>
      <c r="B26" s="24" t="s">
        <v>44</v>
      </c>
      <c r="C26" s="101" t="s">
        <v>531</v>
      </c>
      <c r="D26" s="101"/>
      <c r="E26" s="101"/>
      <c r="F26" s="101"/>
      <c r="G26" s="101"/>
      <c r="H26" s="101"/>
      <c r="I26" s="101" t="s">
        <v>532</v>
      </c>
      <c r="J26" s="101"/>
      <c r="K26" s="101"/>
      <c r="L26" s="102" t="s">
        <v>533</v>
      </c>
      <c r="M26" s="102"/>
      <c r="N26" s="102"/>
      <c r="O26" s="102"/>
      <c r="P26" s="25" t="s">
        <v>42</v>
      </c>
      <c r="Q26" s="25" t="s">
        <v>176</v>
      </c>
      <c r="R26" s="55" t="s">
        <v>110</v>
      </c>
      <c r="S26" s="55">
        <v>100</v>
      </c>
      <c r="T26" s="55">
        <v>100</v>
      </c>
      <c r="U26" s="59">
        <f>100</f>
        <v>100</v>
      </c>
    </row>
    <row r="27" spans="1:22" ht="14.25" customHeight="1" thickTop="1" thickBot="1" x14ac:dyDescent="0.25">
      <c r="B27" s="4" t="s">
        <v>79</v>
      </c>
      <c r="C27" s="5"/>
      <c r="D27" s="5"/>
      <c r="E27" s="5"/>
      <c r="F27" s="5"/>
      <c r="G27" s="5"/>
      <c r="H27" s="6"/>
      <c r="I27" s="6"/>
      <c r="J27" s="6"/>
      <c r="K27" s="6"/>
      <c r="L27" s="6"/>
      <c r="M27" s="6"/>
      <c r="N27" s="6"/>
      <c r="O27" s="6"/>
      <c r="P27" s="6"/>
      <c r="Q27" s="6"/>
      <c r="R27" s="6"/>
      <c r="S27" s="6"/>
      <c r="T27" s="6"/>
      <c r="U27" s="7"/>
      <c r="V27" s="26"/>
    </row>
    <row r="28" spans="1:22" ht="26.25" customHeight="1" thickTop="1" x14ac:dyDescent="0.2">
      <c r="B28" s="27"/>
      <c r="C28" s="28"/>
      <c r="D28" s="28"/>
      <c r="E28" s="28"/>
      <c r="F28" s="28"/>
      <c r="G28" s="28"/>
      <c r="H28" s="29"/>
      <c r="I28" s="29"/>
      <c r="J28" s="29"/>
      <c r="K28" s="29"/>
      <c r="L28" s="29"/>
      <c r="M28" s="29"/>
      <c r="N28" s="29"/>
      <c r="O28" s="29"/>
      <c r="P28" s="29"/>
      <c r="Q28" s="29"/>
      <c r="R28" s="30"/>
      <c r="S28" s="31" t="s">
        <v>33</v>
      </c>
      <c r="T28" s="31" t="s">
        <v>80</v>
      </c>
      <c r="U28" s="18" t="s">
        <v>81</v>
      </c>
    </row>
    <row r="29" spans="1:22" ht="37.5" customHeight="1" thickBot="1" x14ac:dyDescent="0.25">
      <c r="B29" s="32"/>
      <c r="C29" s="33"/>
      <c r="D29" s="33"/>
      <c r="E29" s="33"/>
      <c r="F29" s="33"/>
      <c r="G29" s="33"/>
      <c r="H29" s="34"/>
      <c r="I29" s="34"/>
      <c r="J29" s="34"/>
      <c r="K29" s="34"/>
      <c r="L29" s="34"/>
      <c r="M29" s="34"/>
      <c r="N29" s="34"/>
      <c r="O29" s="34"/>
      <c r="P29" s="34"/>
      <c r="Q29" s="34"/>
      <c r="R29" s="34"/>
      <c r="S29" s="35" t="s">
        <v>82</v>
      </c>
      <c r="T29" s="36" t="s">
        <v>82</v>
      </c>
      <c r="U29" s="36" t="s">
        <v>83</v>
      </c>
    </row>
    <row r="30" spans="1:22" ht="21.75" customHeight="1" thickBot="1" x14ac:dyDescent="0.25">
      <c r="B30" s="106" t="s">
        <v>84</v>
      </c>
      <c r="C30" s="107"/>
      <c r="D30" s="107"/>
      <c r="E30" s="37"/>
      <c r="F30" s="37"/>
      <c r="G30" s="37"/>
      <c r="H30" s="38"/>
      <c r="I30" s="38"/>
      <c r="J30" s="38"/>
      <c r="K30" s="38"/>
      <c r="L30" s="38"/>
      <c r="M30" s="38"/>
      <c r="N30" s="38"/>
      <c r="O30" s="38"/>
      <c r="P30" s="39"/>
      <c r="Q30" s="39"/>
      <c r="R30" s="39"/>
      <c r="S30" s="63">
        <v>6011</v>
      </c>
      <c r="T30" s="63">
        <v>7905.57</v>
      </c>
      <c r="U30" s="64">
        <f>+IF(ISERR(T30/S30*100),"N/A",ROUND(T30/S30*100,1))</f>
        <v>131.5</v>
      </c>
    </row>
    <row r="31" spans="1:22" ht="21.75" customHeight="1" thickBot="1" x14ac:dyDescent="0.25">
      <c r="B31" s="108" t="s">
        <v>85</v>
      </c>
      <c r="C31" s="109"/>
      <c r="D31" s="109"/>
      <c r="E31" s="40"/>
      <c r="F31" s="40"/>
      <c r="G31" s="40"/>
      <c r="H31" s="41"/>
      <c r="I31" s="41"/>
      <c r="J31" s="41"/>
      <c r="K31" s="41"/>
      <c r="L31" s="41"/>
      <c r="M31" s="41"/>
      <c r="N31" s="41"/>
      <c r="O31" s="41"/>
      <c r="P31" s="42"/>
      <c r="Q31" s="42"/>
      <c r="R31" s="42"/>
      <c r="S31" s="63">
        <v>7905.57</v>
      </c>
      <c r="T31" s="63">
        <v>7905.57</v>
      </c>
      <c r="U31" s="64">
        <f>+IF(ISERR(T31/S31*100),"N/A",ROUND(T31/S31*100,1))</f>
        <v>100</v>
      </c>
    </row>
    <row r="32" spans="1:22" ht="14.85" customHeight="1" thickTop="1" thickBot="1" x14ac:dyDescent="0.25">
      <c r="B32" s="4" t="s">
        <v>86</v>
      </c>
      <c r="C32" s="5"/>
      <c r="D32" s="5"/>
      <c r="E32" s="5"/>
      <c r="F32" s="5"/>
      <c r="G32" s="5"/>
      <c r="H32" s="6"/>
      <c r="I32" s="6"/>
      <c r="J32" s="6"/>
      <c r="K32" s="6"/>
      <c r="L32" s="6"/>
      <c r="M32" s="6"/>
      <c r="N32" s="6"/>
      <c r="O32" s="6"/>
      <c r="P32" s="6"/>
      <c r="Q32" s="6"/>
      <c r="R32" s="6"/>
      <c r="S32" s="6"/>
      <c r="T32" s="6"/>
      <c r="U32" s="7"/>
    </row>
    <row r="33" spans="2:21" ht="44.25" customHeight="1" thickTop="1" x14ac:dyDescent="0.2">
      <c r="B33" s="110" t="s">
        <v>87</v>
      </c>
      <c r="C33" s="111"/>
      <c r="D33" s="111"/>
      <c r="E33" s="111"/>
      <c r="F33" s="111"/>
      <c r="G33" s="111"/>
      <c r="H33" s="111"/>
      <c r="I33" s="111"/>
      <c r="J33" s="111"/>
      <c r="K33" s="111"/>
      <c r="L33" s="111"/>
      <c r="M33" s="111"/>
      <c r="N33" s="111"/>
      <c r="O33" s="111"/>
      <c r="P33" s="111"/>
      <c r="Q33" s="111"/>
      <c r="R33" s="111"/>
      <c r="S33" s="111"/>
      <c r="T33" s="111"/>
      <c r="U33" s="112"/>
    </row>
    <row r="34" spans="2:21" ht="90" customHeight="1" x14ac:dyDescent="0.2">
      <c r="B34" s="103" t="s">
        <v>534</v>
      </c>
      <c r="C34" s="104"/>
      <c r="D34" s="104"/>
      <c r="E34" s="104"/>
      <c r="F34" s="104"/>
      <c r="G34" s="104"/>
      <c r="H34" s="104"/>
      <c r="I34" s="104"/>
      <c r="J34" s="104"/>
      <c r="K34" s="104"/>
      <c r="L34" s="104"/>
      <c r="M34" s="104"/>
      <c r="N34" s="104"/>
      <c r="O34" s="104"/>
      <c r="P34" s="104"/>
      <c r="Q34" s="104"/>
      <c r="R34" s="104"/>
      <c r="S34" s="104"/>
      <c r="T34" s="104"/>
      <c r="U34" s="105"/>
    </row>
    <row r="35" spans="2:21" ht="100.5" customHeight="1" x14ac:dyDescent="0.2">
      <c r="B35" s="103" t="s">
        <v>535</v>
      </c>
      <c r="C35" s="104"/>
      <c r="D35" s="104"/>
      <c r="E35" s="104"/>
      <c r="F35" s="104"/>
      <c r="G35" s="104"/>
      <c r="H35" s="104"/>
      <c r="I35" s="104"/>
      <c r="J35" s="104"/>
      <c r="K35" s="104"/>
      <c r="L35" s="104"/>
      <c r="M35" s="104"/>
      <c r="N35" s="104"/>
      <c r="O35" s="104"/>
      <c r="P35" s="104"/>
      <c r="Q35" s="104"/>
      <c r="R35" s="104"/>
      <c r="S35" s="104"/>
      <c r="T35" s="104"/>
      <c r="U35" s="105"/>
    </row>
    <row r="36" spans="2:21" ht="93.75" customHeight="1" x14ac:dyDescent="0.2">
      <c r="B36" s="103" t="s">
        <v>536</v>
      </c>
      <c r="C36" s="104"/>
      <c r="D36" s="104"/>
      <c r="E36" s="104"/>
      <c r="F36" s="104"/>
      <c r="G36" s="104"/>
      <c r="H36" s="104"/>
      <c r="I36" s="104"/>
      <c r="J36" s="104"/>
      <c r="K36" s="104"/>
      <c r="L36" s="104"/>
      <c r="M36" s="104"/>
      <c r="N36" s="104"/>
      <c r="O36" s="104"/>
      <c r="P36" s="104"/>
      <c r="Q36" s="104"/>
      <c r="R36" s="104"/>
      <c r="S36" s="104"/>
      <c r="T36" s="104"/>
      <c r="U36" s="105"/>
    </row>
    <row r="37" spans="2:21" ht="80.25" customHeight="1" x14ac:dyDescent="0.2">
      <c r="B37" s="103" t="s">
        <v>537</v>
      </c>
      <c r="C37" s="104"/>
      <c r="D37" s="104"/>
      <c r="E37" s="104"/>
      <c r="F37" s="104"/>
      <c r="G37" s="104"/>
      <c r="H37" s="104"/>
      <c r="I37" s="104"/>
      <c r="J37" s="104"/>
      <c r="K37" s="104"/>
      <c r="L37" s="104"/>
      <c r="M37" s="104"/>
      <c r="N37" s="104"/>
      <c r="O37" s="104"/>
      <c r="P37" s="104"/>
      <c r="Q37" s="104"/>
      <c r="R37" s="104"/>
      <c r="S37" s="104"/>
      <c r="T37" s="104"/>
      <c r="U37" s="105"/>
    </row>
    <row r="38" spans="2:21" ht="80.25" customHeight="1" x14ac:dyDescent="0.2">
      <c r="B38" s="103" t="s">
        <v>538</v>
      </c>
      <c r="C38" s="104"/>
      <c r="D38" s="104"/>
      <c r="E38" s="104"/>
      <c r="F38" s="104"/>
      <c r="G38" s="104"/>
      <c r="H38" s="104"/>
      <c r="I38" s="104"/>
      <c r="J38" s="104"/>
      <c r="K38" s="104"/>
      <c r="L38" s="104"/>
      <c r="M38" s="104"/>
      <c r="N38" s="104"/>
      <c r="O38" s="104"/>
      <c r="P38" s="104"/>
      <c r="Q38" s="104"/>
      <c r="R38" s="104"/>
      <c r="S38" s="104"/>
      <c r="T38" s="104"/>
      <c r="U38" s="105"/>
    </row>
    <row r="39" spans="2:21" ht="80.25" customHeight="1" x14ac:dyDescent="0.2">
      <c r="B39" s="103" t="s">
        <v>539</v>
      </c>
      <c r="C39" s="104"/>
      <c r="D39" s="104"/>
      <c r="E39" s="104"/>
      <c r="F39" s="104"/>
      <c r="G39" s="104"/>
      <c r="H39" s="104"/>
      <c r="I39" s="104"/>
      <c r="J39" s="104"/>
      <c r="K39" s="104"/>
      <c r="L39" s="104"/>
      <c r="M39" s="104"/>
      <c r="N39" s="104"/>
      <c r="O39" s="104"/>
      <c r="P39" s="104"/>
      <c r="Q39" s="104"/>
      <c r="R39" s="104"/>
      <c r="S39" s="104"/>
      <c r="T39" s="104"/>
      <c r="U39" s="105"/>
    </row>
    <row r="40" spans="2:21" ht="80.25" customHeight="1" x14ac:dyDescent="0.2">
      <c r="B40" s="103" t="s">
        <v>540</v>
      </c>
      <c r="C40" s="104"/>
      <c r="D40" s="104"/>
      <c r="E40" s="104"/>
      <c r="F40" s="104"/>
      <c r="G40" s="104"/>
      <c r="H40" s="104"/>
      <c r="I40" s="104"/>
      <c r="J40" s="104"/>
      <c r="K40" s="104"/>
      <c r="L40" s="104"/>
      <c r="M40" s="104"/>
      <c r="N40" s="104"/>
      <c r="O40" s="104"/>
      <c r="P40" s="104"/>
      <c r="Q40" s="104"/>
      <c r="R40" s="104"/>
      <c r="S40" s="104"/>
      <c r="T40" s="104"/>
      <c r="U40" s="105"/>
    </row>
    <row r="41" spans="2:21" ht="80.25" customHeight="1" x14ac:dyDescent="0.2">
      <c r="B41" s="103" t="s">
        <v>541</v>
      </c>
      <c r="C41" s="104"/>
      <c r="D41" s="104"/>
      <c r="E41" s="104"/>
      <c r="F41" s="104"/>
      <c r="G41" s="104"/>
      <c r="H41" s="104"/>
      <c r="I41" s="104"/>
      <c r="J41" s="104"/>
      <c r="K41" s="104"/>
      <c r="L41" s="104"/>
      <c r="M41" s="104"/>
      <c r="N41" s="104"/>
      <c r="O41" s="104"/>
      <c r="P41" s="104"/>
      <c r="Q41" s="104"/>
      <c r="R41" s="104"/>
      <c r="S41" s="104"/>
      <c r="T41" s="104"/>
      <c r="U41" s="105"/>
    </row>
    <row r="42" spans="2:21" ht="80.25" customHeight="1" x14ac:dyDescent="0.2">
      <c r="B42" s="103" t="s">
        <v>542</v>
      </c>
      <c r="C42" s="104"/>
      <c r="D42" s="104"/>
      <c r="E42" s="104"/>
      <c r="F42" s="104"/>
      <c r="G42" s="104"/>
      <c r="H42" s="104"/>
      <c r="I42" s="104"/>
      <c r="J42" s="104"/>
      <c r="K42" s="104"/>
      <c r="L42" s="104"/>
      <c r="M42" s="104"/>
      <c r="N42" s="104"/>
      <c r="O42" s="104"/>
      <c r="P42" s="104"/>
      <c r="Q42" s="104"/>
      <c r="R42" s="104"/>
      <c r="S42" s="104"/>
      <c r="T42" s="104"/>
      <c r="U42" s="105"/>
    </row>
    <row r="43" spans="2:21" ht="167.85" customHeight="1" x14ac:dyDescent="0.2">
      <c r="B43" s="103" t="s">
        <v>543</v>
      </c>
      <c r="C43" s="104"/>
      <c r="D43" s="104"/>
      <c r="E43" s="104"/>
      <c r="F43" s="104"/>
      <c r="G43" s="104"/>
      <c r="H43" s="104"/>
      <c r="I43" s="104"/>
      <c r="J43" s="104"/>
      <c r="K43" s="104"/>
      <c r="L43" s="104"/>
      <c r="M43" s="104"/>
      <c r="N43" s="104"/>
      <c r="O43" s="104"/>
      <c r="P43" s="104"/>
      <c r="Q43" s="104"/>
      <c r="R43" s="104"/>
      <c r="S43" s="104"/>
      <c r="T43" s="104"/>
      <c r="U43" s="105"/>
    </row>
    <row r="44" spans="2:21" ht="70.5" customHeight="1" x14ac:dyDescent="0.2">
      <c r="B44" s="103" t="s">
        <v>544</v>
      </c>
      <c r="C44" s="104"/>
      <c r="D44" s="104"/>
      <c r="E44" s="104"/>
      <c r="F44" s="104"/>
      <c r="G44" s="104"/>
      <c r="H44" s="104"/>
      <c r="I44" s="104"/>
      <c r="J44" s="104"/>
      <c r="K44" s="104"/>
      <c r="L44" s="104"/>
      <c r="M44" s="104"/>
      <c r="N44" s="104"/>
      <c r="O44" s="104"/>
      <c r="P44" s="104"/>
      <c r="Q44" s="104"/>
      <c r="R44" s="104"/>
      <c r="S44" s="104"/>
      <c r="T44" s="104"/>
      <c r="U44" s="105"/>
    </row>
    <row r="45" spans="2:21" ht="70.5" customHeight="1" x14ac:dyDescent="0.2">
      <c r="B45" s="103" t="s">
        <v>545</v>
      </c>
      <c r="C45" s="104"/>
      <c r="D45" s="104"/>
      <c r="E45" s="104"/>
      <c r="F45" s="104"/>
      <c r="G45" s="104"/>
      <c r="H45" s="104"/>
      <c r="I45" s="104"/>
      <c r="J45" s="104"/>
      <c r="K45" s="104"/>
      <c r="L45" s="104"/>
      <c r="M45" s="104"/>
      <c r="N45" s="104"/>
      <c r="O45" s="104"/>
      <c r="P45" s="104"/>
      <c r="Q45" s="104"/>
      <c r="R45" s="104"/>
      <c r="S45" s="104"/>
      <c r="T45" s="104"/>
      <c r="U45" s="105"/>
    </row>
    <row r="46" spans="2:21" ht="70.5" customHeight="1" x14ac:dyDescent="0.2">
      <c r="B46" s="103" t="s">
        <v>546</v>
      </c>
      <c r="C46" s="104"/>
      <c r="D46" s="104"/>
      <c r="E46" s="104"/>
      <c r="F46" s="104"/>
      <c r="G46" s="104"/>
      <c r="H46" s="104"/>
      <c r="I46" s="104"/>
      <c r="J46" s="104"/>
      <c r="K46" s="104"/>
      <c r="L46" s="104"/>
      <c r="M46" s="104"/>
      <c r="N46" s="104"/>
      <c r="O46" s="104"/>
      <c r="P46" s="104"/>
      <c r="Q46" s="104"/>
      <c r="R46" s="104"/>
      <c r="S46" s="104"/>
      <c r="T46" s="104"/>
      <c r="U46" s="105"/>
    </row>
    <row r="47" spans="2:21" ht="70.5" customHeight="1" x14ac:dyDescent="0.2">
      <c r="B47" s="103" t="s">
        <v>547</v>
      </c>
      <c r="C47" s="104"/>
      <c r="D47" s="104"/>
      <c r="E47" s="104"/>
      <c r="F47" s="104"/>
      <c r="G47" s="104"/>
      <c r="H47" s="104"/>
      <c r="I47" s="104"/>
      <c r="J47" s="104"/>
      <c r="K47" s="104"/>
      <c r="L47" s="104"/>
      <c r="M47" s="104"/>
      <c r="N47" s="104"/>
      <c r="O47" s="104"/>
      <c r="P47" s="104"/>
      <c r="Q47" s="104"/>
      <c r="R47" s="104"/>
      <c r="S47" s="104"/>
      <c r="T47" s="104"/>
      <c r="U47" s="105"/>
    </row>
    <row r="48" spans="2:21" ht="70.5" customHeight="1" x14ac:dyDescent="0.2">
      <c r="B48" s="103" t="s">
        <v>548</v>
      </c>
      <c r="C48" s="104"/>
      <c r="D48" s="104"/>
      <c r="E48" s="104"/>
      <c r="F48" s="104"/>
      <c r="G48" s="104"/>
      <c r="H48" s="104"/>
      <c r="I48" s="104"/>
      <c r="J48" s="104"/>
      <c r="K48" s="104"/>
      <c r="L48" s="104"/>
      <c r="M48" s="104"/>
      <c r="N48" s="104"/>
      <c r="O48" s="104"/>
      <c r="P48" s="104"/>
      <c r="Q48" s="104"/>
      <c r="R48" s="104"/>
      <c r="S48" s="104"/>
      <c r="T48" s="104"/>
      <c r="U48" s="105"/>
    </row>
    <row r="49" spans="2:21" ht="70.5" customHeight="1" thickBot="1" x14ac:dyDescent="0.25">
      <c r="B49" s="113" t="s">
        <v>549</v>
      </c>
      <c r="C49" s="114"/>
      <c r="D49" s="114"/>
      <c r="E49" s="114"/>
      <c r="F49" s="114"/>
      <c r="G49" s="114"/>
      <c r="H49" s="114"/>
      <c r="I49" s="114"/>
      <c r="J49" s="114"/>
      <c r="K49" s="114"/>
      <c r="L49" s="114"/>
      <c r="M49" s="114"/>
      <c r="N49" s="114"/>
      <c r="O49" s="114"/>
      <c r="P49" s="114"/>
      <c r="Q49" s="114"/>
      <c r="R49" s="114"/>
      <c r="S49" s="114"/>
      <c r="T49" s="114"/>
      <c r="U49" s="115"/>
    </row>
  </sheetData>
  <mergeCells count="88">
    <mergeCell ref="B46:U46"/>
    <mergeCell ref="B47:U47"/>
    <mergeCell ref="B48:U48"/>
    <mergeCell ref="B49:U49"/>
    <mergeCell ref="B40:U40"/>
    <mergeCell ref="B41:U41"/>
    <mergeCell ref="B42:U42"/>
    <mergeCell ref="B43:U43"/>
    <mergeCell ref="B44:U44"/>
    <mergeCell ref="B45:U45"/>
    <mergeCell ref="B39:U39"/>
    <mergeCell ref="C26:H26"/>
    <mergeCell ref="I26:K26"/>
    <mergeCell ref="L26:O26"/>
    <mergeCell ref="B30:D30"/>
    <mergeCell ref="B31:D31"/>
    <mergeCell ref="B33:U33"/>
    <mergeCell ref="B34:U34"/>
    <mergeCell ref="B35:U35"/>
    <mergeCell ref="B36:U36"/>
    <mergeCell ref="B37:U37"/>
    <mergeCell ref="B38:U38"/>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2"/>
  <sheetViews>
    <sheetView tabSelected="1" zoomScale="80" zoomScaleNormal="80" zoomScaleSheetLayoutView="80" workbookViewId="0">
      <selection activeCell="W23" sqref="W23"/>
    </sheetView>
  </sheetViews>
  <sheetFormatPr baseColWidth="10" defaultColWidth="10" defaultRowHeight="12.75" x14ac:dyDescent="0.2"/>
  <cols>
    <col min="1" max="1" width="3.5" style="1" customWidth="1"/>
    <col min="2" max="2" width="16.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1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6" t="s">
        <v>0</v>
      </c>
      <c r="C1" s="66"/>
      <c r="D1" s="66"/>
      <c r="E1" s="66"/>
      <c r="F1" s="66"/>
      <c r="G1" s="66"/>
      <c r="H1" s="66"/>
      <c r="I1" s="66"/>
      <c r="J1" s="66"/>
      <c r="K1" s="66"/>
      <c r="L1" s="6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44" t="s">
        <v>6</v>
      </c>
      <c r="C4" s="45" t="s">
        <v>550</v>
      </c>
      <c r="D4" s="116" t="s">
        <v>551</v>
      </c>
      <c r="E4" s="116"/>
      <c r="F4" s="116"/>
      <c r="G4" s="116"/>
      <c r="H4" s="116"/>
      <c r="I4" s="46"/>
      <c r="J4" s="47" t="s">
        <v>9</v>
      </c>
      <c r="K4" s="48" t="s">
        <v>10</v>
      </c>
      <c r="L4" s="117" t="s">
        <v>11</v>
      </c>
      <c r="M4" s="117"/>
      <c r="N4" s="117"/>
      <c r="O4" s="117"/>
      <c r="P4" s="47" t="s">
        <v>12</v>
      </c>
      <c r="Q4" s="117" t="s">
        <v>552</v>
      </c>
      <c r="R4" s="117"/>
      <c r="S4" s="47" t="s">
        <v>14</v>
      </c>
      <c r="T4" s="117"/>
      <c r="U4" s="118"/>
    </row>
    <row r="5" spans="1:21" ht="15.75" customHeight="1" x14ac:dyDescent="0.2">
      <c r="B5" s="70" t="s">
        <v>15</v>
      </c>
      <c r="C5" s="71"/>
      <c r="D5" s="71"/>
      <c r="E5" s="71"/>
      <c r="F5" s="71"/>
      <c r="G5" s="71"/>
      <c r="H5" s="71"/>
      <c r="I5" s="71"/>
      <c r="J5" s="71"/>
      <c r="K5" s="71"/>
      <c r="L5" s="71"/>
      <c r="M5" s="71"/>
      <c r="N5" s="71"/>
      <c r="O5" s="71"/>
      <c r="P5" s="71"/>
      <c r="Q5" s="71"/>
      <c r="R5" s="71"/>
      <c r="S5" s="71"/>
      <c r="T5" s="71"/>
      <c r="U5" s="72"/>
    </row>
    <row r="6" spans="1:21" ht="63.75" customHeight="1" thickBot="1" x14ac:dyDescent="0.25">
      <c r="B6" s="49" t="s">
        <v>16</v>
      </c>
      <c r="C6" s="119" t="s">
        <v>102</v>
      </c>
      <c r="D6" s="119"/>
      <c r="E6" s="119"/>
      <c r="F6" s="119"/>
      <c r="G6" s="119"/>
      <c r="H6" s="50"/>
      <c r="I6" s="50"/>
      <c r="J6" s="50" t="s">
        <v>18</v>
      </c>
      <c r="K6" s="119" t="s">
        <v>103</v>
      </c>
      <c r="L6" s="119"/>
      <c r="M6" s="119"/>
      <c r="N6" s="51"/>
      <c r="O6" s="50" t="s">
        <v>20</v>
      </c>
      <c r="P6" s="119" t="s">
        <v>104</v>
      </c>
      <c r="Q6" s="119"/>
      <c r="R6" s="52"/>
      <c r="S6" s="50" t="s">
        <v>22</v>
      </c>
      <c r="T6" s="119" t="s">
        <v>553</v>
      </c>
      <c r="U6" s="12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21" customHeight="1" thickTop="1" x14ac:dyDescent="0.2">
      <c r="B8" s="78" t="s">
        <v>25</v>
      </c>
      <c r="C8" s="81" t="s">
        <v>26</v>
      </c>
      <c r="D8" s="81"/>
      <c r="E8" s="81"/>
      <c r="F8" s="81"/>
      <c r="G8" s="81"/>
      <c r="H8" s="82"/>
      <c r="I8" s="87" t="s">
        <v>27</v>
      </c>
      <c r="J8" s="88"/>
      <c r="K8" s="88"/>
      <c r="L8" s="88"/>
      <c r="M8" s="88"/>
      <c r="N8" s="88"/>
      <c r="O8" s="88"/>
      <c r="P8" s="88"/>
      <c r="Q8" s="88"/>
      <c r="R8" s="88"/>
      <c r="S8" s="89"/>
      <c r="T8" s="90" t="s">
        <v>28</v>
      </c>
      <c r="U8" s="91"/>
    </row>
    <row r="9" spans="1:21" ht="19.5" customHeight="1" x14ac:dyDescent="0.2">
      <c r="B9" s="79"/>
      <c r="C9" s="83"/>
      <c r="D9" s="83"/>
      <c r="E9" s="83"/>
      <c r="F9" s="83"/>
      <c r="G9" s="83"/>
      <c r="H9" s="84"/>
      <c r="I9" s="92" t="s">
        <v>29</v>
      </c>
      <c r="J9" s="81"/>
      <c r="K9" s="81"/>
      <c r="L9" s="81" t="s">
        <v>30</v>
      </c>
      <c r="M9" s="81"/>
      <c r="N9" s="81"/>
      <c r="O9" s="81"/>
      <c r="P9" s="81" t="s">
        <v>31</v>
      </c>
      <c r="Q9" s="81" t="s">
        <v>32</v>
      </c>
      <c r="R9" s="95" t="s">
        <v>33</v>
      </c>
      <c r="S9" s="96"/>
      <c r="T9" s="81" t="s">
        <v>34</v>
      </c>
      <c r="U9" s="97" t="s">
        <v>35</v>
      </c>
    </row>
    <row r="10" spans="1:21" ht="40.5" customHeight="1" thickBot="1" x14ac:dyDescent="0.25">
      <c r="B10" s="80"/>
      <c r="C10" s="85"/>
      <c r="D10" s="85"/>
      <c r="E10" s="85"/>
      <c r="F10" s="85"/>
      <c r="G10" s="85"/>
      <c r="H10" s="86"/>
      <c r="I10" s="93"/>
      <c r="J10" s="94"/>
      <c r="K10" s="94"/>
      <c r="L10" s="94"/>
      <c r="M10" s="94"/>
      <c r="N10" s="94"/>
      <c r="O10" s="94"/>
      <c r="P10" s="94"/>
      <c r="Q10" s="94"/>
      <c r="R10" s="19" t="s">
        <v>36</v>
      </c>
      <c r="S10" s="20" t="s">
        <v>37</v>
      </c>
      <c r="T10" s="94"/>
      <c r="U10" s="98"/>
    </row>
    <row r="11" spans="1:21" ht="75" customHeight="1" thickTop="1" thickBot="1" x14ac:dyDescent="0.25">
      <c r="A11" s="21"/>
      <c r="B11" s="22" t="s">
        <v>38</v>
      </c>
      <c r="C11" s="99" t="s">
        <v>554</v>
      </c>
      <c r="D11" s="99"/>
      <c r="E11" s="99"/>
      <c r="F11" s="99"/>
      <c r="G11" s="99"/>
      <c r="H11" s="99"/>
      <c r="I11" s="99" t="s">
        <v>555</v>
      </c>
      <c r="J11" s="99"/>
      <c r="K11" s="99"/>
      <c r="L11" s="100" t="s">
        <v>556</v>
      </c>
      <c r="M11" s="100"/>
      <c r="N11" s="100"/>
      <c r="O11" s="100"/>
      <c r="P11" s="23" t="s">
        <v>42</v>
      </c>
      <c r="Q11" s="23" t="s">
        <v>114</v>
      </c>
      <c r="R11" s="23">
        <v>20</v>
      </c>
      <c r="S11" s="23">
        <v>20</v>
      </c>
      <c r="T11" s="23">
        <v>10.67</v>
      </c>
      <c r="U11" s="61" t="str">
        <f>"N/A"</f>
        <v>N/A</v>
      </c>
    </row>
    <row r="12" spans="1:21" ht="108" customHeight="1" thickTop="1" x14ac:dyDescent="0.2">
      <c r="A12" s="21"/>
      <c r="B12" s="22" t="s">
        <v>47</v>
      </c>
      <c r="C12" s="99" t="s">
        <v>557</v>
      </c>
      <c r="D12" s="99"/>
      <c r="E12" s="99"/>
      <c r="F12" s="99"/>
      <c r="G12" s="99"/>
      <c r="H12" s="99"/>
      <c r="I12" s="99" t="s">
        <v>558</v>
      </c>
      <c r="J12" s="99"/>
      <c r="K12" s="99"/>
      <c r="L12" s="100" t="s">
        <v>559</v>
      </c>
      <c r="M12" s="100"/>
      <c r="N12" s="100"/>
      <c r="O12" s="100"/>
      <c r="P12" s="23" t="s">
        <v>42</v>
      </c>
      <c r="Q12" s="23" t="s">
        <v>53</v>
      </c>
      <c r="R12" s="23">
        <v>15.52</v>
      </c>
      <c r="S12" s="23">
        <v>15.52</v>
      </c>
      <c r="T12" s="23">
        <v>15.6</v>
      </c>
      <c r="U12" s="61">
        <f>100.5</f>
        <v>100.5</v>
      </c>
    </row>
    <row r="13" spans="1:21" ht="84.75" customHeight="1" thickBot="1" x14ac:dyDescent="0.25">
      <c r="A13" s="21"/>
      <c r="B13" s="24" t="s">
        <v>44</v>
      </c>
      <c r="C13" s="101" t="s">
        <v>44</v>
      </c>
      <c r="D13" s="101"/>
      <c r="E13" s="101"/>
      <c r="F13" s="101"/>
      <c r="G13" s="101"/>
      <c r="H13" s="101"/>
      <c r="I13" s="101" t="s">
        <v>560</v>
      </c>
      <c r="J13" s="101"/>
      <c r="K13" s="101"/>
      <c r="L13" s="102" t="s">
        <v>561</v>
      </c>
      <c r="M13" s="102"/>
      <c r="N13" s="102"/>
      <c r="O13" s="102"/>
      <c r="P13" s="25" t="s">
        <v>42</v>
      </c>
      <c r="Q13" s="25" t="s">
        <v>114</v>
      </c>
      <c r="R13" s="25">
        <v>25</v>
      </c>
      <c r="S13" s="25">
        <v>25</v>
      </c>
      <c r="T13" s="25" t="s">
        <v>110</v>
      </c>
      <c r="U13" s="62" t="str">
        <f>"N/A"</f>
        <v>N/A</v>
      </c>
    </row>
    <row r="14" spans="1:21" ht="84.75" customHeight="1" thickTop="1" x14ac:dyDescent="0.2">
      <c r="A14" s="21"/>
      <c r="B14" s="22" t="s">
        <v>54</v>
      </c>
      <c r="C14" s="99" t="s">
        <v>562</v>
      </c>
      <c r="D14" s="99"/>
      <c r="E14" s="99"/>
      <c r="F14" s="99"/>
      <c r="G14" s="99"/>
      <c r="H14" s="99"/>
      <c r="I14" s="99" t="s">
        <v>563</v>
      </c>
      <c r="J14" s="99"/>
      <c r="K14" s="99"/>
      <c r="L14" s="100" t="s">
        <v>564</v>
      </c>
      <c r="M14" s="100"/>
      <c r="N14" s="100"/>
      <c r="O14" s="100"/>
      <c r="P14" s="23" t="s">
        <v>125</v>
      </c>
      <c r="Q14" s="23" t="s">
        <v>43</v>
      </c>
      <c r="R14" s="23">
        <v>26919</v>
      </c>
      <c r="S14" s="23">
        <v>22283</v>
      </c>
      <c r="T14" s="23">
        <v>17305</v>
      </c>
      <c r="U14" s="61">
        <f>77.66</f>
        <v>77.66</v>
      </c>
    </row>
    <row r="15" spans="1:21" ht="84.75" customHeight="1" x14ac:dyDescent="0.2">
      <c r="A15" s="21"/>
      <c r="B15" s="24" t="s">
        <v>44</v>
      </c>
      <c r="C15" s="101" t="s">
        <v>44</v>
      </c>
      <c r="D15" s="101"/>
      <c r="E15" s="101"/>
      <c r="F15" s="101"/>
      <c r="G15" s="101"/>
      <c r="H15" s="101"/>
      <c r="I15" s="101" t="s">
        <v>565</v>
      </c>
      <c r="J15" s="101"/>
      <c r="K15" s="101"/>
      <c r="L15" s="102" t="s">
        <v>566</v>
      </c>
      <c r="M15" s="102"/>
      <c r="N15" s="102"/>
      <c r="O15" s="102"/>
      <c r="P15" s="25" t="s">
        <v>42</v>
      </c>
      <c r="Q15" s="25" t="s">
        <v>129</v>
      </c>
      <c r="R15" s="25">
        <v>67.3</v>
      </c>
      <c r="S15" s="25">
        <v>55.71</v>
      </c>
      <c r="T15" s="25">
        <v>43.26</v>
      </c>
      <c r="U15" s="62">
        <f>77.65</f>
        <v>77.650000000000006</v>
      </c>
    </row>
    <row r="16" spans="1:21" ht="84.75" customHeight="1" thickBot="1" x14ac:dyDescent="0.25">
      <c r="A16" s="21"/>
      <c r="B16" s="24" t="s">
        <v>44</v>
      </c>
      <c r="C16" s="101" t="s">
        <v>44</v>
      </c>
      <c r="D16" s="101"/>
      <c r="E16" s="101"/>
      <c r="F16" s="101"/>
      <c r="G16" s="101"/>
      <c r="H16" s="101"/>
      <c r="I16" s="101" t="s">
        <v>567</v>
      </c>
      <c r="J16" s="101"/>
      <c r="K16" s="101"/>
      <c r="L16" s="102" t="s">
        <v>568</v>
      </c>
      <c r="M16" s="102"/>
      <c r="N16" s="102"/>
      <c r="O16" s="102"/>
      <c r="P16" s="25" t="s">
        <v>42</v>
      </c>
      <c r="Q16" s="25" t="s">
        <v>129</v>
      </c>
      <c r="R16" s="25">
        <v>35</v>
      </c>
      <c r="S16" s="25">
        <v>35</v>
      </c>
      <c r="T16" s="25">
        <v>35.65</v>
      </c>
      <c r="U16" s="62">
        <f>101.85</f>
        <v>101.85</v>
      </c>
    </row>
    <row r="17" spans="1:22" ht="84.75" customHeight="1" thickTop="1" x14ac:dyDescent="0.2">
      <c r="A17" s="21"/>
      <c r="B17" s="22" t="s">
        <v>62</v>
      </c>
      <c r="C17" s="99" t="s">
        <v>569</v>
      </c>
      <c r="D17" s="99"/>
      <c r="E17" s="99"/>
      <c r="F17" s="99"/>
      <c r="G17" s="99"/>
      <c r="H17" s="99"/>
      <c r="I17" s="99" t="s">
        <v>570</v>
      </c>
      <c r="J17" s="99"/>
      <c r="K17" s="99"/>
      <c r="L17" s="100" t="s">
        <v>571</v>
      </c>
      <c r="M17" s="100"/>
      <c r="N17" s="100"/>
      <c r="O17" s="100"/>
      <c r="P17" s="23" t="s">
        <v>42</v>
      </c>
      <c r="Q17" s="23" t="s">
        <v>176</v>
      </c>
      <c r="R17" s="23">
        <v>100</v>
      </c>
      <c r="S17" s="23">
        <v>100</v>
      </c>
      <c r="T17" s="23">
        <v>99.29</v>
      </c>
      <c r="U17" s="61">
        <f>99.29</f>
        <v>99.29</v>
      </c>
    </row>
    <row r="18" spans="1:22" ht="111" customHeight="1" thickBot="1" x14ac:dyDescent="0.25">
      <c r="A18" s="21"/>
      <c r="B18" s="24" t="s">
        <v>44</v>
      </c>
      <c r="C18" s="101" t="s">
        <v>572</v>
      </c>
      <c r="D18" s="101"/>
      <c r="E18" s="101"/>
      <c r="F18" s="101"/>
      <c r="G18" s="101"/>
      <c r="H18" s="101"/>
      <c r="I18" s="101" t="s">
        <v>573</v>
      </c>
      <c r="J18" s="101"/>
      <c r="K18" s="101"/>
      <c r="L18" s="102" t="s">
        <v>574</v>
      </c>
      <c r="M18" s="102"/>
      <c r="N18" s="102"/>
      <c r="O18" s="102"/>
      <c r="P18" s="25" t="s">
        <v>42</v>
      </c>
      <c r="Q18" s="25" t="s">
        <v>75</v>
      </c>
      <c r="R18" s="25">
        <v>100</v>
      </c>
      <c r="S18" s="25">
        <v>100</v>
      </c>
      <c r="T18" s="25">
        <v>77.66</v>
      </c>
      <c r="U18" s="62">
        <f>77.66</f>
        <v>77.66</v>
      </c>
    </row>
    <row r="19" spans="1:22" ht="14.25" customHeight="1" thickTop="1" thickBot="1" x14ac:dyDescent="0.25">
      <c r="B19" s="4" t="s">
        <v>79</v>
      </c>
      <c r="C19" s="5"/>
      <c r="D19" s="5"/>
      <c r="E19" s="5"/>
      <c r="F19" s="5"/>
      <c r="G19" s="5"/>
      <c r="H19" s="6"/>
      <c r="I19" s="6"/>
      <c r="J19" s="6"/>
      <c r="K19" s="6"/>
      <c r="L19" s="6"/>
      <c r="M19" s="6"/>
      <c r="N19" s="6"/>
      <c r="O19" s="6"/>
      <c r="P19" s="6"/>
      <c r="Q19" s="6"/>
      <c r="R19" s="6"/>
      <c r="S19" s="6"/>
      <c r="T19" s="6"/>
      <c r="U19" s="7"/>
      <c r="V19" s="26"/>
    </row>
    <row r="20" spans="1:22" ht="26.25" customHeight="1" thickTop="1" x14ac:dyDescent="0.2">
      <c r="B20" s="27"/>
      <c r="C20" s="28"/>
      <c r="D20" s="28"/>
      <c r="E20" s="28"/>
      <c r="F20" s="28"/>
      <c r="G20" s="28"/>
      <c r="H20" s="29"/>
      <c r="I20" s="29"/>
      <c r="J20" s="29"/>
      <c r="K20" s="29"/>
      <c r="L20" s="29"/>
      <c r="M20" s="29"/>
      <c r="N20" s="29"/>
      <c r="O20" s="29"/>
      <c r="P20" s="29"/>
      <c r="Q20" s="29"/>
      <c r="R20" s="30"/>
      <c r="S20" s="31" t="s">
        <v>33</v>
      </c>
      <c r="T20" s="31" t="s">
        <v>80</v>
      </c>
      <c r="U20" s="18" t="s">
        <v>81</v>
      </c>
    </row>
    <row r="21" spans="1:22" ht="39.75" customHeight="1" thickBot="1" x14ac:dyDescent="0.25">
      <c r="B21" s="32"/>
      <c r="C21" s="33"/>
      <c r="D21" s="33"/>
      <c r="E21" s="33"/>
      <c r="F21" s="33"/>
      <c r="G21" s="33"/>
      <c r="H21" s="34"/>
      <c r="I21" s="34"/>
      <c r="J21" s="34"/>
      <c r="K21" s="34"/>
      <c r="L21" s="34"/>
      <c r="M21" s="34"/>
      <c r="N21" s="34"/>
      <c r="O21" s="34"/>
      <c r="P21" s="34"/>
      <c r="Q21" s="34"/>
      <c r="R21" s="34"/>
      <c r="S21" s="35" t="s">
        <v>82</v>
      </c>
      <c r="T21" s="36" t="s">
        <v>82</v>
      </c>
      <c r="U21" s="36" t="s">
        <v>83</v>
      </c>
    </row>
    <row r="22" spans="1:22" ht="21" customHeight="1" thickBot="1" x14ac:dyDescent="0.25">
      <c r="B22" s="106" t="s">
        <v>84</v>
      </c>
      <c r="C22" s="107"/>
      <c r="D22" s="107"/>
      <c r="E22" s="37"/>
      <c r="F22" s="37"/>
      <c r="G22" s="37"/>
      <c r="H22" s="38"/>
      <c r="I22" s="38"/>
      <c r="J22" s="38"/>
      <c r="K22" s="38"/>
      <c r="L22" s="38"/>
      <c r="M22" s="38"/>
      <c r="N22" s="38"/>
      <c r="O22" s="38"/>
      <c r="P22" s="39"/>
      <c r="Q22" s="39"/>
      <c r="R22" s="39"/>
      <c r="S22" s="63">
        <v>237.42</v>
      </c>
      <c r="T22" s="63">
        <v>169.53</v>
      </c>
      <c r="U22" s="64">
        <f>+IF(ISERR(T22/S22*100),"N/A",ROUND(T22/S22*100,1))</f>
        <v>71.400000000000006</v>
      </c>
    </row>
    <row r="23" spans="1:22" ht="21" customHeight="1" thickBot="1" x14ac:dyDescent="0.25">
      <c r="B23" s="108" t="s">
        <v>85</v>
      </c>
      <c r="C23" s="109"/>
      <c r="D23" s="109"/>
      <c r="E23" s="40"/>
      <c r="F23" s="40"/>
      <c r="G23" s="40"/>
      <c r="H23" s="41"/>
      <c r="I23" s="41"/>
      <c r="J23" s="41"/>
      <c r="K23" s="41"/>
      <c r="L23" s="41"/>
      <c r="M23" s="41"/>
      <c r="N23" s="41"/>
      <c r="O23" s="41"/>
      <c r="P23" s="42"/>
      <c r="Q23" s="42"/>
      <c r="R23" s="42"/>
      <c r="S23" s="63">
        <v>169.53</v>
      </c>
      <c r="T23" s="63">
        <v>169.53</v>
      </c>
      <c r="U23" s="64">
        <f>+IF(ISERR(T23/S23*100),"N/A",ROUND(T23/S23*100,1))</f>
        <v>100</v>
      </c>
    </row>
    <row r="24" spans="1:22" ht="14.85" customHeight="1" thickTop="1" thickBot="1" x14ac:dyDescent="0.25">
      <c r="B24" s="4" t="s">
        <v>86</v>
      </c>
      <c r="C24" s="5"/>
      <c r="D24" s="5"/>
      <c r="E24" s="5"/>
      <c r="F24" s="5"/>
      <c r="G24" s="5"/>
      <c r="H24" s="6"/>
      <c r="I24" s="6"/>
      <c r="J24" s="6"/>
      <c r="K24" s="6"/>
      <c r="L24" s="6"/>
      <c r="M24" s="6"/>
      <c r="N24" s="6"/>
      <c r="O24" s="6"/>
      <c r="P24" s="6"/>
      <c r="Q24" s="6"/>
      <c r="R24" s="6"/>
      <c r="S24" s="6"/>
      <c r="T24" s="6"/>
      <c r="U24" s="7"/>
    </row>
    <row r="25" spans="1:22" ht="44.25" customHeight="1" thickTop="1" x14ac:dyDescent="0.2">
      <c r="B25" s="110" t="s">
        <v>87</v>
      </c>
      <c r="C25" s="111"/>
      <c r="D25" s="111"/>
      <c r="E25" s="111"/>
      <c r="F25" s="111"/>
      <c r="G25" s="111"/>
      <c r="H25" s="111"/>
      <c r="I25" s="111"/>
      <c r="J25" s="111"/>
      <c r="K25" s="111"/>
      <c r="L25" s="111"/>
      <c r="M25" s="111"/>
      <c r="N25" s="111"/>
      <c r="O25" s="111"/>
      <c r="P25" s="111"/>
      <c r="Q25" s="111"/>
      <c r="R25" s="111"/>
      <c r="S25" s="111"/>
      <c r="T25" s="111"/>
      <c r="U25" s="112"/>
    </row>
    <row r="26" spans="1:22" ht="60" customHeight="1" x14ac:dyDescent="0.2">
      <c r="B26" s="103" t="s">
        <v>575</v>
      </c>
      <c r="C26" s="104"/>
      <c r="D26" s="104"/>
      <c r="E26" s="104"/>
      <c r="F26" s="104"/>
      <c r="G26" s="104"/>
      <c r="H26" s="104"/>
      <c r="I26" s="104"/>
      <c r="J26" s="104"/>
      <c r="K26" s="104"/>
      <c r="L26" s="104"/>
      <c r="M26" s="104"/>
      <c r="N26" s="104"/>
      <c r="O26" s="104"/>
      <c r="P26" s="104"/>
      <c r="Q26" s="104"/>
      <c r="R26" s="104"/>
      <c r="S26" s="104"/>
      <c r="T26" s="104"/>
      <c r="U26" s="105"/>
    </row>
    <row r="27" spans="1:22" ht="101.25" customHeight="1" x14ac:dyDescent="0.2">
      <c r="B27" s="103" t="s">
        <v>576</v>
      </c>
      <c r="C27" s="104"/>
      <c r="D27" s="104"/>
      <c r="E27" s="104"/>
      <c r="F27" s="104"/>
      <c r="G27" s="104"/>
      <c r="H27" s="104"/>
      <c r="I27" s="104"/>
      <c r="J27" s="104"/>
      <c r="K27" s="104"/>
      <c r="L27" s="104"/>
      <c r="M27" s="104"/>
      <c r="N27" s="104"/>
      <c r="O27" s="104"/>
      <c r="P27" s="104"/>
      <c r="Q27" s="104"/>
      <c r="R27" s="104"/>
      <c r="S27" s="104"/>
      <c r="T27" s="104"/>
      <c r="U27" s="105"/>
    </row>
    <row r="28" spans="1:22" ht="127.7" customHeight="1" x14ac:dyDescent="0.2">
      <c r="B28" s="103" t="s">
        <v>577</v>
      </c>
      <c r="C28" s="104"/>
      <c r="D28" s="104"/>
      <c r="E28" s="104"/>
      <c r="F28" s="104"/>
      <c r="G28" s="104"/>
      <c r="H28" s="104"/>
      <c r="I28" s="104"/>
      <c r="J28" s="104"/>
      <c r="K28" s="104"/>
      <c r="L28" s="104"/>
      <c r="M28" s="104"/>
      <c r="N28" s="104"/>
      <c r="O28" s="104"/>
      <c r="P28" s="104"/>
      <c r="Q28" s="104"/>
      <c r="R28" s="104"/>
      <c r="S28" s="104"/>
      <c r="T28" s="104"/>
      <c r="U28" s="105"/>
    </row>
    <row r="29" spans="1:22" ht="141.19999999999999" customHeight="1" x14ac:dyDescent="0.2">
      <c r="B29" s="103" t="s">
        <v>578</v>
      </c>
      <c r="C29" s="104"/>
      <c r="D29" s="104"/>
      <c r="E29" s="104"/>
      <c r="F29" s="104"/>
      <c r="G29" s="104"/>
      <c r="H29" s="104"/>
      <c r="I29" s="104"/>
      <c r="J29" s="104"/>
      <c r="K29" s="104"/>
      <c r="L29" s="104"/>
      <c r="M29" s="104"/>
      <c r="N29" s="104"/>
      <c r="O29" s="104"/>
      <c r="P29" s="104"/>
      <c r="Q29" s="104"/>
      <c r="R29" s="104"/>
      <c r="S29" s="104"/>
      <c r="T29" s="104"/>
      <c r="U29" s="105"/>
    </row>
    <row r="30" spans="1:22" ht="87" customHeight="1" x14ac:dyDescent="0.2">
      <c r="B30" s="103" t="s">
        <v>579</v>
      </c>
      <c r="C30" s="104"/>
      <c r="D30" s="104"/>
      <c r="E30" s="104"/>
      <c r="F30" s="104"/>
      <c r="G30" s="104"/>
      <c r="H30" s="104"/>
      <c r="I30" s="104"/>
      <c r="J30" s="104"/>
      <c r="K30" s="104"/>
      <c r="L30" s="104"/>
      <c r="M30" s="104"/>
      <c r="N30" s="104"/>
      <c r="O30" s="104"/>
      <c r="P30" s="104"/>
      <c r="Q30" s="104"/>
      <c r="R30" s="104"/>
      <c r="S30" s="104"/>
      <c r="T30" s="104"/>
      <c r="U30" s="105"/>
    </row>
    <row r="31" spans="1:22" ht="132" customHeight="1" x14ac:dyDescent="0.2">
      <c r="B31" s="103" t="s">
        <v>580</v>
      </c>
      <c r="C31" s="104"/>
      <c r="D31" s="104"/>
      <c r="E31" s="104"/>
      <c r="F31" s="104"/>
      <c r="G31" s="104"/>
      <c r="H31" s="104"/>
      <c r="I31" s="104"/>
      <c r="J31" s="104"/>
      <c r="K31" s="104"/>
      <c r="L31" s="104"/>
      <c r="M31" s="104"/>
      <c r="N31" s="104"/>
      <c r="O31" s="104"/>
      <c r="P31" s="104"/>
      <c r="Q31" s="104"/>
      <c r="R31" s="104"/>
      <c r="S31" s="104"/>
      <c r="T31" s="104"/>
      <c r="U31" s="105"/>
    </row>
    <row r="32" spans="1:22" ht="105.95" customHeight="1" thickBot="1" x14ac:dyDescent="0.25">
      <c r="B32" s="113" t="s">
        <v>581</v>
      </c>
      <c r="C32" s="114"/>
      <c r="D32" s="114"/>
      <c r="E32" s="114"/>
      <c r="F32" s="114"/>
      <c r="G32" s="114"/>
      <c r="H32" s="114"/>
      <c r="I32" s="114"/>
      <c r="J32" s="114"/>
      <c r="K32" s="114"/>
      <c r="L32" s="114"/>
      <c r="M32" s="114"/>
      <c r="N32" s="114"/>
      <c r="O32" s="114"/>
      <c r="P32" s="114"/>
      <c r="Q32" s="114"/>
      <c r="R32" s="114"/>
      <c r="S32" s="114"/>
      <c r="T32" s="114"/>
      <c r="U32" s="115"/>
    </row>
  </sheetData>
  <mergeCells count="55">
    <mergeCell ref="B31:U31"/>
    <mergeCell ref="B32:U32"/>
    <mergeCell ref="B26:U26"/>
    <mergeCell ref="B27:U27"/>
    <mergeCell ref="B28:U28"/>
    <mergeCell ref="B29:U29"/>
    <mergeCell ref="B30:U30"/>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18</vt:i4>
      </vt:variant>
    </vt:vector>
  </HeadingPairs>
  <TitlesOfParts>
    <vt:vector size="27" baseType="lpstr">
      <vt:lpstr>Portada</vt:lpstr>
      <vt:lpstr>15 E002</vt:lpstr>
      <vt:lpstr>15 S048</vt:lpstr>
      <vt:lpstr>15 S058</vt:lpstr>
      <vt:lpstr>15 S088</vt:lpstr>
      <vt:lpstr>15 S117</vt:lpstr>
      <vt:lpstr>15 S175</vt:lpstr>
      <vt:lpstr>15 S177</vt:lpstr>
      <vt:lpstr>15 S213</vt:lpstr>
      <vt:lpstr>'15 E002'!Área_de_impresión</vt:lpstr>
      <vt:lpstr>'15 S048'!Área_de_impresión</vt:lpstr>
      <vt:lpstr>'15 S058'!Área_de_impresión</vt:lpstr>
      <vt:lpstr>'15 S088'!Área_de_impresión</vt:lpstr>
      <vt:lpstr>'15 S117'!Área_de_impresión</vt:lpstr>
      <vt:lpstr>'15 S175'!Área_de_impresión</vt:lpstr>
      <vt:lpstr>'15 S177'!Área_de_impresión</vt:lpstr>
      <vt:lpstr>'15 S213'!Área_de_impresión</vt:lpstr>
      <vt:lpstr>Portada!Área_de_impresión</vt:lpstr>
      <vt:lpstr>'15 E002'!Títulos_a_imprimir</vt:lpstr>
      <vt:lpstr>'15 S048'!Títulos_a_imprimir</vt:lpstr>
      <vt:lpstr>'15 S058'!Títulos_a_imprimir</vt:lpstr>
      <vt:lpstr>'15 S088'!Títulos_a_imprimir</vt:lpstr>
      <vt:lpstr>'15 S117'!Títulos_a_imprimir</vt:lpstr>
      <vt:lpstr>'15 S175'!Títulos_a_imprimir</vt:lpstr>
      <vt:lpstr>'15 S177'!Títulos_a_imprimir</vt:lpstr>
      <vt:lpstr>'15 S213'!Títulos_a_imprimir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Elizabeth Alejandra Martinez Gonzalez</cp:lastModifiedBy>
  <cp:lastPrinted>2009-03-26T01:46:20Z</cp:lastPrinted>
  <dcterms:created xsi:type="dcterms:W3CDTF">2009-03-25T01:44:41Z</dcterms:created>
  <dcterms:modified xsi:type="dcterms:W3CDTF">2014-04-03T19:53:13Z</dcterms:modified>
</cp:coreProperties>
</file>