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585" yWindow="-15" windowWidth="12630" windowHeight="12405" tabRatio="662"/>
  </bookViews>
  <sheets>
    <sheet name="Portada" sheetId="1" r:id="rId1"/>
    <sheet name="8 S231" sheetId="2" r:id="rId2"/>
    <sheet name="8 S232" sheetId="3" r:id="rId3"/>
    <sheet name="8 S233" sheetId="4" r:id="rId4"/>
    <sheet name="8 S234" sheetId="5" r:id="rId5"/>
    <sheet name="8 U002" sheetId="6" r:id="rId6"/>
    <sheet name="8 U016" sheetId="7" r:id="rId7"/>
  </sheets>
  <definedNames>
    <definedName name="_xlnm.Print_Area" localSheetId="1">'8 S231'!$B$1:$U$61</definedName>
    <definedName name="_xlnm.Print_Area" localSheetId="2">'8 S232'!$B$1:$U$88</definedName>
    <definedName name="_xlnm.Print_Area" localSheetId="3">'8 S233'!$B$1:$U$50</definedName>
    <definedName name="_xlnm.Print_Area" localSheetId="4">'8 S234'!$B$1:$U$62</definedName>
    <definedName name="_xlnm.Print_Area" localSheetId="5">'8 U002'!$B$1:$U$51</definedName>
    <definedName name="_xlnm.Print_Area" localSheetId="6">'8 U016'!$B$1:$U$29</definedName>
    <definedName name="_xlnm.Print_Area" localSheetId="0">Portada!$B$1:$AD$86</definedName>
    <definedName name="_xlnm.Print_Titles" localSheetId="1">'8 S231'!$1:$4</definedName>
    <definedName name="_xlnm.Print_Titles" localSheetId="2">'8 S232'!$1:$4</definedName>
    <definedName name="_xlnm.Print_Titles" localSheetId="3">'8 S233'!$1:$4</definedName>
    <definedName name="_xlnm.Print_Titles" localSheetId="4">'8 S234'!$1:$4</definedName>
    <definedName name="_xlnm.Print_Titles" localSheetId="5">'8 U002'!$1:$4</definedName>
    <definedName name="_xlnm.Print_Titles" localSheetId="6">'8 U016'!$1:$4</definedName>
    <definedName name="_xlnm.Print_Titles" localSheetId="0">Portada!$1:$4</definedName>
  </definedNames>
  <calcPr calcId="145621"/>
</workbook>
</file>

<file path=xl/calcChain.xml><?xml version="1.0" encoding="utf-8"?>
<calcChain xmlns="http://schemas.openxmlformats.org/spreadsheetml/2006/main">
  <c r="U12" i="4" l="1"/>
  <c r="U29" i="3"/>
  <c r="U21" i="2" l="1"/>
  <c r="U20" i="7" l="1"/>
  <c r="U19" i="7"/>
  <c r="U15" i="7"/>
  <c r="U14" i="7"/>
  <c r="U13" i="7"/>
  <c r="U12" i="7"/>
  <c r="U11" i="7"/>
  <c r="U30" i="6"/>
  <c r="U29" i="6"/>
  <c r="U25" i="6"/>
  <c r="U24" i="6"/>
  <c r="U23" i="6"/>
  <c r="U22" i="6"/>
  <c r="U21" i="6"/>
  <c r="U20" i="6"/>
  <c r="U19" i="6"/>
  <c r="U18" i="6"/>
  <c r="U17" i="6"/>
  <c r="U16" i="6"/>
  <c r="U15" i="6"/>
  <c r="U14" i="6"/>
  <c r="U13" i="6"/>
  <c r="U12" i="6"/>
  <c r="U11" i="6"/>
  <c r="U36" i="5"/>
  <c r="U35" i="5"/>
  <c r="U31" i="5"/>
  <c r="U30" i="5"/>
  <c r="U29" i="5"/>
  <c r="U28" i="5"/>
  <c r="U27" i="5"/>
  <c r="U26" i="5"/>
  <c r="U25" i="5"/>
  <c r="U24" i="5"/>
  <c r="U23" i="5"/>
  <c r="U22" i="5"/>
  <c r="U21" i="5"/>
  <c r="U20" i="5"/>
  <c r="U19" i="5"/>
  <c r="U18" i="5"/>
  <c r="U17" i="5"/>
  <c r="U16" i="5"/>
  <c r="U15" i="5"/>
  <c r="U14" i="5"/>
  <c r="U13" i="5"/>
  <c r="U12" i="5"/>
  <c r="U11" i="5"/>
  <c r="U30" i="4"/>
  <c r="U29" i="4"/>
  <c r="U25" i="4"/>
  <c r="U24" i="4"/>
  <c r="U23" i="4"/>
  <c r="U22" i="4"/>
  <c r="U21" i="4"/>
  <c r="U20" i="4"/>
  <c r="U19" i="4"/>
  <c r="U18" i="4"/>
  <c r="U17" i="4"/>
  <c r="U16" i="4"/>
  <c r="U15" i="4"/>
  <c r="U14" i="4"/>
  <c r="U13" i="4"/>
  <c r="U11" i="4"/>
  <c r="U48" i="3"/>
  <c r="U44" i="3"/>
  <c r="U43" i="3"/>
  <c r="U42" i="3"/>
  <c r="U41" i="3"/>
  <c r="U40" i="3"/>
  <c r="U39" i="3"/>
  <c r="U38" i="3"/>
  <c r="U37" i="3"/>
  <c r="U36" i="3"/>
  <c r="U35" i="3"/>
  <c r="U34" i="3"/>
  <c r="U33" i="3"/>
  <c r="U32" i="3"/>
  <c r="U31" i="3"/>
  <c r="U30" i="3"/>
  <c r="U28" i="3"/>
  <c r="U27" i="3"/>
  <c r="U26" i="3"/>
  <c r="U25" i="3"/>
  <c r="U24" i="3"/>
  <c r="U23" i="3"/>
  <c r="U22" i="3"/>
  <c r="U21" i="3"/>
  <c r="U20" i="3"/>
  <c r="U19" i="3"/>
  <c r="U18" i="3"/>
  <c r="U17" i="3"/>
  <c r="U16" i="3"/>
  <c r="U15" i="3"/>
  <c r="U14" i="3"/>
  <c r="U13" i="3"/>
  <c r="U12" i="3"/>
  <c r="U11" i="3"/>
  <c r="U35" i="2"/>
  <c r="U34" i="2"/>
  <c r="U30" i="2"/>
  <c r="U29" i="2"/>
  <c r="U28" i="2"/>
  <c r="U27" i="2"/>
  <c r="U26" i="2"/>
  <c r="U25" i="2"/>
  <c r="U24" i="2"/>
  <c r="U23" i="2"/>
  <c r="U22" i="2"/>
  <c r="U20" i="2"/>
  <c r="U19" i="2"/>
  <c r="U18" i="2"/>
  <c r="U17" i="2"/>
  <c r="U16" i="2"/>
  <c r="U15" i="2"/>
  <c r="U14" i="2"/>
  <c r="U13" i="2"/>
  <c r="U12" i="2"/>
  <c r="U11" i="2"/>
  <c r="U49" i="3" l="1"/>
</calcChain>
</file>

<file path=xl/sharedStrings.xml><?xml version="1.0" encoding="utf-8"?>
<sst xmlns="http://schemas.openxmlformats.org/spreadsheetml/2006/main" count="1097" uniqueCount="480">
  <si>
    <t>Avance en los Indicadores de los Programas presupuestarios de la Administración Pública Federal</t>
  </si>
  <si>
    <t xml:space="preserve">    Ejercicio Fiscal 2013</t>
  </si>
  <si>
    <t>Ramo 08
Agricultura, Ganadería, Desarrollo Rural, Pesca y Alimentación</t>
  </si>
  <si>
    <t>Programas presupuestarios cuya MIR se incluye en el reporte</t>
  </si>
  <si>
    <t xml:space="preserve">S-231 PROCAMPO Productivo
S-232 Programa de Prevención y Manejo de Riesgos
S-233 Programa de Desarrollo de Capacidades, Innovación Tecnológica y Extensionismo Rural
S-234 Programa de Sustentabilidad de los Recursos Naturales
U-002 Instrumentación de acciones para mejorar las Sanidades a través de Inspecciones Fitozoosanitarias
U-016 Tecnificación del Riego
</t>
  </si>
  <si>
    <t>DATOS DEL PROGRAMA</t>
  </si>
  <si>
    <t>Programa presupuestario</t>
  </si>
  <si>
    <t>S231</t>
  </si>
  <si>
    <t>PROCAMPO Productivo</t>
  </si>
  <si>
    <t>Ramo</t>
  </si>
  <si>
    <t>8</t>
  </si>
  <si>
    <t>Agricultura, Ganadería, Desarrollo Rural, Pesca y Alimentación</t>
  </si>
  <si>
    <t>Unidad responsable</t>
  </si>
  <si>
    <t>F00-Agencia de Servicios a la Comercialización y Desarrollo de Mercados Agropecuarios</t>
  </si>
  <si>
    <t>Enfoques transversales</t>
  </si>
  <si>
    <t>Clasificación Funcional</t>
  </si>
  <si>
    <t>Finalidad</t>
  </si>
  <si>
    <t>3 - Desarrollo Económico</t>
  </si>
  <si>
    <t>Función</t>
  </si>
  <si>
    <t>2 - Agropecuaria, Silvicultura, Pesca y Caza</t>
  </si>
  <si>
    <t>Subfunción</t>
  </si>
  <si>
    <t>1 - Agropecuaria</t>
  </si>
  <si>
    <t>Actividad Institucional</t>
  </si>
  <si>
    <t>6 - Elevar el ingreso de los productores y el empleo rural</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</si>
  <si>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</si>
  <si>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</si>
  <si>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</si>
  <si>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</si>
  <si>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</si>
  <si>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</si>
  <si>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</si>
  <si>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</si>
  <si>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</si>
  <si>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</si>
  <si>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</si>
  <si>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</si>
  <si>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</si>
  <si>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</si>
  <si>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</si>
  <si>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 mejorar el ingreso de los productores agropecuarios, acuícolas y pesqueros mediante el otorgamiento de apoyos directos y complementarios</t>
  </si>
  <si>
    <r>
      <t>Tasa de variación del ingreso neto real de los productores agropecuarios, pesqueros y acuícolas apoyados</t>
    </r>
    <r>
      <rPr>
        <i/>
        <sz val="10"/>
        <color indexed="30"/>
        <rFont val="Soberana Sans"/>
        <family val="3"/>
      </rPr>
      <t xml:space="preserve">
</t>
    </r>
  </si>
  <si>
    <t>[(Ingreso neto real de de los productores agropecuarios, pesqueros y acuícolas apoyados en el año t0+i / Ingreso neto real de los productores agropecuarios, pesqueros y acuícolas en el año t0) -1]*100</t>
  </si>
  <si>
    <t>Tasa de variación</t>
  </si>
  <si>
    <t>Estratégico-Eficacia-Quinquenal</t>
  </si>
  <si>
    <t>N/A</t>
  </si>
  <si>
    <t>Propósito</t>
  </si>
  <si>
    <t>Productores agropecuarios, acuícolas y pesqueros registrados en el programa cuentan con ingreso mejorado</t>
  </si>
  <si>
    <r>
      <t>Porcentaje de incremento en el ingreso de los beneficiarios del Procampo</t>
    </r>
    <r>
      <rPr>
        <i/>
        <sz val="10"/>
        <color indexed="30"/>
        <rFont val="Soberana Sans"/>
        <family val="3"/>
      </rPr>
      <t xml:space="preserve">
</t>
    </r>
  </si>
  <si>
    <t>(Monto del apoyo per capita de los beneficiarios del procampo/ Ingreso per capita agrícola) *100</t>
  </si>
  <si>
    <t>Porcentaje</t>
  </si>
  <si>
    <t>Estratégico-Eficacia-Anual</t>
  </si>
  <si>
    <t/>
  </si>
  <si>
    <r>
      <t>Porcentaje de Productores agropecuarios, acuícolas y pesqueros apoyados con ingreso mejorado respecto al total de productores agropecuarios, acuícolas y pesqueros</t>
    </r>
    <r>
      <rPr>
        <i/>
        <sz val="10"/>
        <color indexed="30"/>
        <rFont val="Soberana Sans"/>
        <family val="3"/>
      </rPr>
      <t xml:space="preserve">
</t>
    </r>
  </si>
  <si>
    <t>(Productores agropecuarios, acuícolas y pesqueros apoyados con ingreso mejorado / total de productores agropecuarios, acuícolas y pesqueros)*100</t>
  </si>
  <si>
    <t>Componente</t>
  </si>
  <si>
    <t>A Maquinaria agropecuaria disponible para los proyectos de las unidades Económicas de producción agropecuaria</t>
  </si>
  <si>
    <r>
      <t>Porcentaje de Unidades Económicas de producción agropecuaria apoyadas con Maquinaria Agropecuaria</t>
    </r>
    <r>
      <rPr>
        <i/>
        <sz val="10"/>
        <color indexed="30"/>
        <rFont val="Soberana Sans"/>
        <family val="3"/>
      </rPr>
      <t xml:space="preserve">
</t>
    </r>
  </si>
  <si>
    <t>(Número de unidades económicas rurales y pesqueras apoyadas con Maquinaria Agropecuaria / Número total de unidades económicas rurales y pesqueras registradas en el padrón de diesel agropecuario) * 100</t>
  </si>
  <si>
    <t>B Apoyos directos entregados a los beneficiarios por ciclo agrícola</t>
  </si>
  <si>
    <r>
      <t xml:space="preserve">Porcentaje de apoyos directos entregados a los beneficiarios en el ciclo agrícola Otoño Invierno (tn/tn+1) </t>
    </r>
    <r>
      <rPr>
        <i/>
        <sz val="10"/>
        <color indexed="30"/>
        <rFont val="Soberana Sans"/>
        <family val="3"/>
      </rPr>
      <t xml:space="preserve">
Indicador Seleccionado</t>
    </r>
  </si>
  <si>
    <t xml:space="preserve">(Apoyos directos entregados a los beneficiarios en el ciclo agrícola Otoño Invierno (tn/tn+1) / Total de apoyos directos presupuestados para el ciclo agrícola Otoño Invierno (tn/tn+1) * 100  </t>
  </si>
  <si>
    <t>Gestión-Eficacia-Anual</t>
  </si>
  <si>
    <r>
      <t xml:space="preserve">Porcentaje de apoyos directos entregados a los beneficiarios en el ciclo agrícola Otoño Invierno (tn-1/tn) </t>
    </r>
    <r>
      <rPr>
        <i/>
        <sz val="10"/>
        <color indexed="30"/>
        <rFont val="Soberana Sans"/>
        <family val="3"/>
      </rPr>
      <t xml:space="preserve">
Indicador Seleccionado</t>
    </r>
  </si>
  <si>
    <t xml:space="preserve">(Apoyos directos entregados a los beneficiarios en el ciclo agrícola Otoño Invierno (tn-1/tn) / Total de apoyos directos presupuestados para el ciclo agrícola Otoño Invierno (tn-1/tn) * 100   </t>
  </si>
  <si>
    <t>Gestión-Eficacia-Trimestral</t>
  </si>
  <si>
    <r>
      <t xml:space="preserve">Porcentaje de apoyos directos entregados a los beneficiarios en el ciclo agrícola Primavera Verano (tn) </t>
    </r>
    <r>
      <rPr>
        <i/>
        <sz val="10"/>
        <color indexed="30"/>
        <rFont val="Soberana Sans"/>
        <family val="3"/>
      </rPr>
      <t xml:space="preserve">
Indicador Seleccionado</t>
    </r>
  </si>
  <si>
    <t xml:space="preserve">(Apoyos directos entregados a los beneficiarios en el ciclo agrícola Primavera Verano (tn) / Total de apoyos directos presupuestados para el ciclo agrícola Primavera Verano (tn)) * 100  </t>
  </si>
  <si>
    <t xml:space="preserve">C Apoyo temporal a los costos de los insumos energéticos entregados.  </t>
  </si>
  <si>
    <r>
      <t>Porcentaje promedio de reducción en los costos de los insumos energéticos agropecuarios (Diesel Agropecuario)</t>
    </r>
    <r>
      <rPr>
        <i/>
        <sz val="10"/>
        <color indexed="30"/>
        <rFont val="Soberana Sans"/>
        <family val="3"/>
      </rPr>
      <t xml:space="preserve">
</t>
    </r>
  </si>
  <si>
    <t>(Monto del Subsidio al diesel agropecuario / Precio público promedio trimestral del diesel)*100</t>
  </si>
  <si>
    <t>Estratégico-Eficacia-Trimestral</t>
  </si>
  <si>
    <r>
      <t>Porcentaje promedio de reducción en los costos de los insumos energéticos  pesqueros y acuícola  (Diesel Marino y Gasolina Ribereña)</t>
    </r>
    <r>
      <rPr>
        <i/>
        <sz val="10"/>
        <color indexed="30"/>
        <rFont val="Soberana Sans"/>
        <family val="3"/>
      </rPr>
      <t xml:space="preserve">
</t>
    </r>
  </si>
  <si>
    <t>(Monto del Subsidio promedio / Precio público promedio trimestral de los energéticos  pesqueros pesqueros y acuícolas)*100</t>
  </si>
  <si>
    <t>D Apoyos directos entregados a los productores para el Fomento productivo del café</t>
  </si>
  <si>
    <r>
      <t>Porcentaje de productores apoyados para el Fomento productivo del Café respecto al número de productores totales registrados en el Padrón Nacional Cafetalero</t>
    </r>
    <r>
      <rPr>
        <i/>
        <sz val="10"/>
        <color indexed="30"/>
        <rFont val="Soberana Sans"/>
        <family val="3"/>
      </rPr>
      <t xml:space="preserve">
</t>
    </r>
  </si>
  <si>
    <t xml:space="preserve">(Productores apoyados para el Fomento Productivo del Café/productores totales registrados en el Padrón Nacional Cafetalero)*100  </t>
  </si>
  <si>
    <t>Actividad</t>
  </si>
  <si>
    <t>A 1 3.1 Atención a las demandas de los productores</t>
  </si>
  <si>
    <r>
      <t>Porcentaje de solicitudes de maquinaria apoyadas</t>
    </r>
    <r>
      <rPr>
        <i/>
        <sz val="10"/>
        <color indexed="30"/>
        <rFont val="Soberana Sans"/>
        <family val="3"/>
      </rPr>
      <t xml:space="preserve">
</t>
    </r>
  </si>
  <si>
    <t>(Numero de solicitudes de maquinaria apoyadas / Número de solicitudes de maquinaria recibidas)*100</t>
  </si>
  <si>
    <t>B 2 1.1. Operación de las Solicitudes</t>
  </si>
  <si>
    <r>
      <t>Porcentaje de solicitudes operadas</t>
    </r>
    <r>
      <rPr>
        <i/>
        <sz val="10"/>
        <color indexed="30"/>
        <rFont val="Soberana Sans"/>
        <family val="3"/>
      </rPr>
      <t xml:space="preserve">
</t>
    </r>
  </si>
  <si>
    <t>(Número de solicitudes operadas  / Total de solicitudes programadas ) *100</t>
  </si>
  <si>
    <t>B 3 1.2. Solicitudes autorizadas</t>
  </si>
  <si>
    <r>
      <t>Porcentaje de solicitudes autorizadas</t>
    </r>
    <r>
      <rPr>
        <i/>
        <sz val="10"/>
        <color indexed="30"/>
        <rFont val="Soberana Sans"/>
        <family val="3"/>
      </rPr>
      <t xml:space="preserve">
</t>
    </r>
  </si>
  <si>
    <t>(Número de solicitudes autorizadas / Total de solicitudes programadas ) *100</t>
  </si>
  <si>
    <t>C 4 2.1. Actualización del Padrón de Beneficiarios con cuota asignada.</t>
  </si>
  <si>
    <r>
      <t>Padrón de Beneficiarios actualizado con cuota asignada de manera oportuna</t>
    </r>
    <r>
      <rPr>
        <i/>
        <sz val="10"/>
        <color indexed="30"/>
        <rFont val="Soberana Sans"/>
        <family val="3"/>
      </rPr>
      <t xml:space="preserve">
</t>
    </r>
  </si>
  <si>
    <t xml:space="preserve">Padrón de Beneficiarios actualizado con cuota asignada   </t>
  </si>
  <si>
    <t>Padron de beneficiarios</t>
  </si>
  <si>
    <t>Gestión-Calidad-Semestral</t>
  </si>
  <si>
    <t>C 5 2.2. Seguimiento del uso de los apoyos entregados y de los compromisos.</t>
  </si>
  <si>
    <r>
      <t>Porcentaje de productores registrados en los padrones de apoyo a energéticos pesqueros y acuicolas que usan su cuota energética asignada</t>
    </r>
    <r>
      <rPr>
        <i/>
        <sz val="10"/>
        <color indexed="30"/>
        <rFont val="Soberana Sans"/>
        <family val="3"/>
      </rPr>
      <t xml:space="preserve">
</t>
    </r>
  </si>
  <si>
    <t>[Productores apoyados con energéticos pesqueros y acuícolas que usan su cuota energética / productores totales registrados en los padrones de diesel marino y gasolina ribereña] *100</t>
  </si>
  <si>
    <t>Gestión-Eficiencia-Trimestral</t>
  </si>
  <si>
    <r>
      <t>Porcentaje de consumo de gasolina ribereña ejercido por los beneficiarios respecto a subsidio asignado.</t>
    </r>
    <r>
      <rPr>
        <i/>
        <sz val="10"/>
        <color indexed="30"/>
        <rFont val="Soberana Sans"/>
        <family val="3"/>
      </rPr>
      <t xml:space="preserve">
</t>
    </r>
  </si>
  <si>
    <t xml:space="preserve">(Litros consumidos trimestralmente diesel marino / presupuesto anual de litros)*100  </t>
  </si>
  <si>
    <r>
      <t>Porcentaje de productores registrados en el Padron de diesel agropecuario que recibieron su apoyo.</t>
    </r>
    <r>
      <rPr>
        <i/>
        <sz val="10"/>
        <color indexed="30"/>
        <rFont val="Soberana Sans"/>
        <family val="3"/>
      </rPr>
      <t xml:space="preserve">
</t>
    </r>
  </si>
  <si>
    <t xml:space="preserve"> (Productores que recibieron el apoyo de diesel agropecuario / productores totales registrados en el Padrón de diesel agropecuario) * 100</t>
  </si>
  <si>
    <r>
      <t>Porcentaje de consumo de Diesel Marino ejercido por los beneficiarios.</t>
    </r>
    <r>
      <rPr>
        <i/>
        <sz val="10"/>
        <color indexed="30"/>
        <rFont val="Soberana Sans"/>
        <family val="3"/>
      </rPr>
      <t xml:space="preserve">
</t>
    </r>
  </si>
  <si>
    <t>(Litros consumidos trimestralmente diesel marino / presupuesto anual de litros)*100</t>
  </si>
  <si>
    <t>D 6 4.2 Ejercicio de los recursos</t>
  </si>
  <si>
    <r>
      <t>Porcentaje de recursos pagados respecto a los recursos programados en beneficio de los productores de café</t>
    </r>
    <r>
      <rPr>
        <i/>
        <sz val="10"/>
        <color indexed="30"/>
        <rFont val="Soberana Sans"/>
        <family val="3"/>
      </rPr>
      <t xml:space="preserve">
</t>
    </r>
  </si>
  <si>
    <t>(Recursos pagados / Recursos programados)*100</t>
  </si>
  <si>
    <t>Gestión-Economía-Semestral</t>
  </si>
  <si>
    <t>D 7 4.1 Comercialización registrada de la producción de café.</t>
  </si>
  <si>
    <r>
      <t>Porcentaje de producción de café que se comercializa respecto al volumen total de producción de café del año anterior</t>
    </r>
    <r>
      <rPr>
        <i/>
        <sz val="10"/>
        <color indexed="30"/>
        <rFont val="Soberana Sans"/>
        <family val="3"/>
      </rPr>
      <t xml:space="preserve">
</t>
    </r>
  </si>
  <si>
    <t xml:space="preserve">(Volumen de producción de café que se comercializa registrado en el Sistema Informatico de la Cafeticultura Nacional / Volumen total de producción de café en el año anterior)*100  </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</si>
  <si>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</si>
  <si>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</si>
  <si>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</si>
  <si>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</si>
  <si>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</si>
  <si>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</si>
  <si>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</si>
  <si>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</si>
  <si>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</si>
  <si>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Tasa de variación del ingreso neto real de los productores agropecuarios, pesqueros y acuícolas apoyados
</t>
    </r>
    <r>
      <rPr>
        <sz val="10"/>
        <rFont val="Soberana Sans"/>
        <family val="2"/>
      </rPr>
      <t>Sin Información,Sin Justificación</t>
    </r>
  </si>
  <si>
    <r>
      <t xml:space="preserve">Porcentaje de incremento en el ingreso de los beneficiarios del Procampo
</t>
    </r>
    <r>
      <rPr>
        <sz val="10"/>
        <rFont val="Soberana Sans"/>
        <family val="2"/>
      </rPr>
      <t xml:space="preserve"> Causa : La reducción de $ 1,507 millones de pesos que sufrió el componente y que no permitió beneficiar con un monto de alrededor de los $ 870 millones, cifra que representa 400 productores. Es decir los productores que se dejó de apoyar, son aquéllos que reciben poca cantidad de apoyo. Efecto: Rebasar la meta en 6.96 puntos porcentuales. Otros Motivos:</t>
    </r>
  </si>
  <si>
    <r>
      <t xml:space="preserve">Porcentaje de Productores agropecuarios, acuícolas y pesqueros apoyados con ingreso mejorado respecto al total de productores agropecuarios, acuícolas y pesqueros
</t>
    </r>
    <r>
      <rPr>
        <sz val="10"/>
        <rFont val="Soberana Sans"/>
        <family val="2"/>
      </rPr>
      <t xml:space="preserve"> Causa : La meta no se alcanzó derivado de las reducciones presupuestales que se tuvieron en el año, principalmente para el componente de PROCAMPO Productivo; aunado a que hubo una disminución en el número de solicitudes de apoyo por parte de los productores cafetaleros. Efecto: Menor cobertura del programa Otros Motivos:</t>
    </r>
  </si>
  <si>
    <r>
      <t xml:space="preserve">Porcentaje de Unidades Económicas de producción agropecuaria apoyadas con Maquinaria Agropecuaria
</t>
    </r>
    <r>
      <rPr>
        <sz val="10"/>
        <rFont val="Soberana Sans"/>
        <family val="2"/>
      </rPr>
      <t xml:space="preserve"> Causa : La variación en el cumplimiento del indicador se debio a la estrategia implementada para impulsar que los beneficiarios de diesel agropecuario optarán por renunciar a este apoyo a cambio de apoyos para la adquisición de maquinaria y equipos agropecuarios. Efecto: Con la modernización de la maquinaria agropecuaria se fortalece la capitalización de las unidades productivas, se logra un consumo más eficiente del combustible y se contribuye al incremento de la productividad agropecuaria.  Otros Motivos:</t>
    </r>
  </si>
  <si>
    <r>
      <t xml:space="preserve">Porcentaje de apoyos directos entregados a los beneficiarios en el ciclo agrícola Otoño Invierno (tn/tn+1) 
</t>
    </r>
    <r>
      <rPr>
        <sz val="10"/>
        <rFont val="Soberana Sans"/>
        <family val="2"/>
      </rPr>
      <t xml:space="preserve"> Causa : Producto de las reducciones que tuvo en el año el presupuesto del PROCAMPO Productivo, no se tuvieron los recursos presupuestales para operar el inicio del ciclo OI 2013/2014 que inicia hacia finales del año calendario. Efecto: Diferir la gestión de solicitudes de apoyo que generalmente se presentaban en determinadas entidades hacia el último bimestre del 2013, para el  2014, con la consiguiente presión de gasto para este último ejercicio. Otros Motivos:</t>
    </r>
  </si>
  <si>
    <r>
      <t xml:space="preserve">Porcentaje de apoyos directos entregados a los beneficiarios en el ciclo agrícola Otoño Invierno (tn-1/tn) 
</t>
    </r>
    <r>
      <rPr>
        <sz val="10"/>
        <rFont val="Soberana Sans"/>
        <family val="2"/>
      </rPr>
      <t xml:space="preserve"> Causa : Actualización del Padrón de beneficiarios con el cual se pagan los apoyos incluyendo la georreferenciación de sus predios, producto de las modificaciones a las Reglas de Operación del componente publicadas el 11 de junio de 2013, lo que incremento el número de solicitantes que cumplían los requisitos para este ciclo. Efecto: Rebasar la meta estimada para el ciclo en 2.6  puntos porcentuales; a pesar de la reducción presupuestal sufrida en el año por el componente; Toda vez que este es el ciclo agrícola que en año calendario se paga primero. Otros Motivos:</t>
    </r>
  </si>
  <si>
    <r>
      <t xml:space="preserve">Porcentaje de apoyos directos entregados a los beneficiarios en el ciclo agrícola Primavera Verano (tn) 
</t>
    </r>
    <r>
      <rPr>
        <sz val="10"/>
        <rFont val="Soberana Sans"/>
        <family val="2"/>
      </rPr>
      <t xml:space="preserve"> Causa : Reducción presupuestal acumulada al mes de diciembre por $1,507 millones de pesos en total del capítulo 4000 durante el ejercicio anual 2013.  Dicho importe fue canalizado a diversos rubros, entre otros, apoyos a damnificados como consecuencia de las sequías y en apoyos a los cañeros. Efecto: No pagar a productores que habiendo cumplido los requisitos en el ejercicio 2013, habrán de pagarse como pagos pendientes al amparo del Art. 119 del Reglamento de la LFPRH para el ejercicio 2014 del PROAGRO Productivo. Los pagos pendientes fueron por $ 870 millones de pesos. Otros Motivos:</t>
    </r>
  </si>
  <si>
    <r>
      <t xml:space="preserve">Porcentaje promedio de reducción en los costos de los insumos energéticos agropecuarios (Diesel Agropecuario)
</t>
    </r>
    <r>
      <rPr>
        <sz val="10"/>
        <rFont val="Soberana Sans"/>
        <family val="2"/>
      </rPr>
      <t xml:space="preserve"> Causa : La meta alcanzada con respecto a la modificada se encuentra dentro del umbral verde-amarillo Efecto: La meta se encuentra dentro del umbral verde-amarillo Otros Motivos:</t>
    </r>
  </si>
  <si>
    <r>
      <t xml:space="preserve">Porcentaje promedio de reducción en los costos de los insumos energéticos  pesqueros y acuícola  (Diesel Marino y Gasolina Ribereña)
</t>
    </r>
    <r>
      <rPr>
        <sz val="10"/>
        <rFont val="Soberana Sans"/>
        <family val="2"/>
      </rPr>
      <t xml:space="preserve"> Causa : La variación en la meta programada se debe a las fluctuaciones en los precios promedio de los energéticos al público. El precio promedio de la gasolina y el diesel tuvo una ligera variación de acuerdo a lo programado de ($16.96 real, $16.50 estimado). Efecto: El porcentaje promedio de reducción en los costos de los insumos energéticos pesqueros y acuícolas, presentó un ligero aumento de acuerdo a lo programado, lo cual atiende a la alza de sus precios. Otros Motivos:</t>
    </r>
  </si>
  <si>
    <r>
      <t xml:space="preserve">Porcentaje de productores apoyados para el Fomento productivo del Café respecto al número de productores totales registrados en el Padrón Nacional Cafetalero
</t>
    </r>
    <r>
      <rPr>
        <sz val="10"/>
        <rFont val="Soberana Sans"/>
        <family val="2"/>
      </rPr>
      <t xml:space="preserve"> Causa : Disminuyó el numero de solicitudes de apoyo por parte de los productores cafetaleros. Efecto: No afectó ya que se cubriron todas las solicitudes de apoyo.  Otros Motivos:</t>
    </r>
  </si>
  <si>
    <r>
      <t xml:space="preserve">Porcentaje de solicitudes de maquinaria apoyadas
</t>
    </r>
    <r>
      <rPr>
        <sz val="10"/>
        <rFont val="Soberana Sans"/>
        <family val="2"/>
      </rPr>
      <t xml:space="preserve"> Causa : A todos los productores que presentaron solicitud de apoyos para la modernización de la maquinaria agropecuaria acompañada de la renuncia al apoyo de diesel agropecuario, se les autorizó y pago los apoyos solicitados. Efecto: Se dio certeza a los productores que al renunciar al apoyo de diesel agropecuario se les autorizaría los apoyos para modernizar su maquinaria agropecuaria. Otros Motivos:</t>
    </r>
  </si>
  <si>
    <r>
      <t xml:space="preserve">Porcentaje de solicitudes operadas
</t>
    </r>
    <r>
      <rPr>
        <sz val="10"/>
        <rFont val="Soberana Sans"/>
        <family val="2"/>
      </rPr>
      <t xml:space="preserve"> Causa : Resultado del proceso de actualización de expedientes y predios que se dió desde el 2009 y que continuó hasta entrado el segundo semestre del año, la reinscripción de los productores que no habían podido cumplimentar los requisitos exigidos para ello, se redujo en la medida de aquéllos que fueron depurados. Efecto: No alcanzar el total de solicitudes estimadas de generar y operar durante el año, quedando por debajo en 6.9 puntos porcentuales Otros Motivos:</t>
    </r>
  </si>
  <si>
    <r>
      <t xml:space="preserve">Porcentaje de solicitudes autorizadas
</t>
    </r>
    <r>
      <rPr>
        <sz val="10"/>
        <rFont val="Soberana Sans"/>
        <family val="2"/>
      </rPr>
      <t xml:space="preserve"> Causa : Dado que exsitió una reinscripción mayor de productores que actualizaron sus expedientes para poder seguir siendo sujetos de los apoyos que contempla el componente, particularmente en el ciclo OI 2012/2013 la cantidad de solicitudes autorizadas para su apoyo se incremento mas que proporcionalmente a la reincripción. Efecto: Rrebasar en 1.4 puntos porcentuales la meta estimada de solicitudes autorizadas para recibir los apoyos del componente. Otros Motivos:</t>
    </r>
  </si>
  <si>
    <r>
      <t xml:space="preserve">Padrón de Beneficiarios actualizado con cuota asignada de manera oportuna
</t>
    </r>
    <r>
      <rPr>
        <sz val="10"/>
        <rFont val="Soberana Sans"/>
        <family val="2"/>
      </rPr>
      <t xml:space="preserve"> Causa : Se cumplió con la meta programada Efecto: Se cumplió con la meta programada Otros Motivos:</t>
    </r>
  </si>
  <si>
    <r>
      <t xml:space="preserve">Porcentaje de productores registrados en los padrones de apoyo a energéticos pesqueros y acuicolas que usan su cuota energética asignada
</t>
    </r>
    <r>
      <rPr>
        <sz val="10"/>
        <rFont val="Soberana Sans"/>
        <family val="2"/>
      </rPr>
      <t xml:space="preserve"> Causa : La meta programada registró un decremento del 9%  de lo programado (90% estimado, 81% real), de acuerdo a los productores registrados en los padrones de apoyo a energéticos pesqueros y acuícolas que hicieron uso de su  cuota energética asignada. Efecto: 1. Menor número de productores registrados en los padrones de los componentes de diesel marino y gasolina ribereña, haciendo consumo de la cuota asignada.   2. Existieron productores registrados en los padrones de apoyo  a energéticos pesqueros y acuícolas, que no hicieron uso de su cuota energética asignada. Otros Motivos:</t>
    </r>
  </si>
  <si>
    <r>
      <t xml:space="preserve">Porcentaje de consumo de gasolina ribereña ejercido por los beneficiarios respecto a subsidio asignado.
</t>
    </r>
    <r>
      <rPr>
        <sz val="10"/>
        <rFont val="Soberana Sans"/>
        <family val="2"/>
      </rPr>
      <t xml:space="preserve"> Causa : La meta registra un avance superior a lo programado, debido al progreso en los consumos de los beneficiarios del componente durante el ciclo 2013. Efecto: Mayor consumo del energético durante el ciclo de 2013, respecto al ciclo inmediato anterior. Otros Motivos:</t>
    </r>
  </si>
  <si>
    <r>
      <t xml:space="preserve">Porcentaje de productores registrados en el Padron de diesel agropecuario que recibieron su apoyo.
</t>
    </r>
    <r>
      <rPr>
        <sz val="10"/>
        <rFont val="Soberana Sans"/>
        <family val="2"/>
      </rPr>
      <t xml:space="preserve"> Causa : La variación en el cumplimiento del indicador se debio a la politica de reducir gradualmente el monto de apoyo por litro de diesel agropecuario, por lo que menos productores solicitaron el apoyo. Efecto: El apoyo para la adquisición de diesel de uso agropecuario a precio de estimulo, dejo de ser significativo por lo que los productores perdieron interes en tramitar este apoyo. Otros Motivos:</t>
    </r>
  </si>
  <si>
    <r>
      <t xml:space="preserve">Porcentaje de consumo de Diesel Marino ejercido por los beneficiarios.
</t>
    </r>
    <r>
      <rPr>
        <sz val="10"/>
        <rFont val="Soberana Sans"/>
        <family val="2"/>
      </rPr>
      <t xml:space="preserve"> Causa : La meta registra un avance superior a lo programado, debido al progreso en los consumos de los beneficiarios del componente durante el ciclo 2013. Efecto: Mayor consumo del energético durante el ciclo de 2013, respecto al ciclo inmediato anterior. Otros Motivos:</t>
    </r>
  </si>
  <si>
    <r>
      <t xml:space="preserve">Porcentaje de recursos pagados respecto a los recursos programados en beneficio de los productores de café
</t>
    </r>
    <r>
      <rPr>
        <sz val="10"/>
        <rFont val="Soberana Sans"/>
        <family val="2"/>
      </rPr>
      <t xml:space="preserve"> Causa : Se redujeron los recusos del componente fomento productivo café por un monto cercano a los 50 millones de pesos, asi mismo disminuyó el numero de solicitudes de apoyo por parte de los productores cafetaleros. Efecto: Aun cuando se disminuyó los recusos del programa esto no afectó el cubrir todas las solicitudes de apoyo.  Otros Motivos:</t>
    </r>
  </si>
  <si>
    <r>
      <t xml:space="preserve">Porcentaje de producción de café que se comercializa respecto al volumen total de producción de café del año anterior
</t>
    </r>
    <r>
      <rPr>
        <sz val="10"/>
        <rFont val="Soberana Sans"/>
        <family val="2"/>
      </rPr>
      <t xml:space="preserve"> Causa : En virtud de que unos de los requisitos para otorgar apoyos era el registrar su producción en el Sistema Informatico de la Cefeticultura Nacional (SICN) se logro que un número importante de productores realizará el registro en el SICN Efecto: Se cuenta con un mejor registro de la comercialización de café Otros Motivos:</t>
    </r>
  </si>
  <si>
    <t>S232</t>
  </si>
  <si>
    <t>Programa de Prevención y Manejo de Riesgos</t>
  </si>
  <si>
    <t>Contribuir a mantener o mejorar los ingresos de los productores agropecuarios, pesqueros, acuícolas y de otros agentes económicos del sector rural ante las contingencias (de mercado, sanitarias, de financiamiento crédito y desastres naturales) que afectan su actividad productiva y mediante la prevención y manejo de riesgos.</t>
  </si>
  <si>
    <r>
      <t>Tasa de variación del ingreso bruto de los productores beneficiarios de los apoyos al Ingreso Objetivo y a la Comercialización proveniente de sus activadades económicas.</t>
    </r>
    <r>
      <rPr>
        <i/>
        <sz val="10"/>
        <color indexed="30"/>
        <rFont val="Soberana Sans"/>
        <family val="3"/>
      </rPr>
      <t xml:space="preserve">
</t>
    </r>
  </si>
  <si>
    <t xml:space="preserve">(Ingreso bruto de los productores agropecuarios con apoyos a los productos elegibles (algodón, frijol, maíz, sorgo, soya y trigo) / Ingreso bruto de los productores agropecuarios de algodón, frijol, maíz, sorgo, soya y trigo sin apoyos) -1*100  </t>
  </si>
  <si>
    <r>
      <t>Tasa de variación del ingreso neto real de los productores agropecuarios, pesqueros, acuícolas y de otros agentes económicos del sector rural apoyados, proveniente de sus actividades económicas</t>
    </r>
    <r>
      <rPr>
        <i/>
        <sz val="10"/>
        <color indexed="30"/>
        <rFont val="Soberana Sans"/>
        <family val="3"/>
      </rPr>
      <t xml:space="preserve">
</t>
    </r>
  </si>
  <si>
    <t>[(Ingreso neto real de los productores agropecuarios, pesqueros, acuícolas y de otros agentes económicos del sector rural apoyados en el año t0+i / Ingreso neto real de los productores agropecuarios, pesqueros, acuícolas y de otros agentes económicos del sector rural apoyados en el año t0)-1] *100.</t>
  </si>
  <si>
    <t>Productores agropecuarios, pesqueros, acuícolas, agroindustriales y otros agentes económicos del medio rural en su conjunto utilizan esquemas para la prevención y manejo de los riesgos</t>
  </si>
  <si>
    <r>
      <t>Porcentaje de incremento  de los productores del medio rural que cuentan con apoyos al Ingreso Objetivo y a la Comercialización.</t>
    </r>
    <r>
      <rPr>
        <i/>
        <sz val="10"/>
        <color indexed="30"/>
        <rFont val="Soberana Sans"/>
        <family val="3"/>
      </rPr>
      <t xml:space="preserve">
</t>
    </r>
  </si>
  <si>
    <t xml:space="preserve">[(Número de productores del medio rural que cuentan con apoyos al Ingreso Objetivo y a la Comercialización promovidos por el Programa de Prevención y Manejo de Riesgos en el año tn+1/Número de productores del medio rural que cuentan con apoyos al Ingreso Objetivo y a la Comercialización promovidos por el Programa de Prevención y Manejo de Riesgos en el año  tn) -1] *100              </t>
  </si>
  <si>
    <r>
      <t xml:space="preserve">Porcentaje de productores del sector rural y pesquero que cuentan con apoyos ante afectaciones por desastres naturales </t>
    </r>
    <r>
      <rPr>
        <i/>
        <sz val="10"/>
        <color indexed="30"/>
        <rFont val="Soberana Sans"/>
        <family val="3"/>
      </rPr>
      <t xml:space="preserve">
</t>
    </r>
  </si>
  <si>
    <t>(Número de productores del sector rural y pesquero que cuentan con apoyos ante afectaciones por desastres naturales en el año tn/Número de productores del sector rural y pesquero que cuentan con apoyos ante afectaciones por desastres naturales en el año tn-1)*100</t>
  </si>
  <si>
    <r>
      <t xml:space="preserve">Tasa de variación anual de productores agropecuarios, pesqueros, acuícolas,  agroindustriales  y otros agentes económicos del medio rural en su conjunto que reciben apoyos para la administración de riesgos financieros </t>
    </r>
    <r>
      <rPr>
        <i/>
        <sz val="10"/>
        <color indexed="30"/>
        <rFont val="Soberana Sans"/>
        <family val="3"/>
      </rPr>
      <t xml:space="preserve">
</t>
    </r>
  </si>
  <si>
    <t>[(Número de productores agropecuarios, pesqueros, acuícolas, agroindustriales y otros agentes económicos del medio rural en su conjunto que cuentan con apoyos para la administración de riesgos financieros promovidos por el Componente en el año t0+1/Número de productores agropecuarios, pesqueros, acuícolas, agroindustriales y otros agentes económicos del medio rural en su conjunto que cuentan con apoyos para la administración de riesgos financieros promovidos por el Componente en el año t0)-1]*100</t>
  </si>
  <si>
    <r>
      <t>Tasa de variación anual de productores agropecuarios, pesqueros, acuícolas,  agroindustriales  y otros agentes económicos del medio rural en su conjunto, que reciben financiamiento para la inversión en equipamiento e infraestructura en localidades de media, alta y muy alta marginación</t>
    </r>
    <r>
      <rPr>
        <i/>
        <sz val="10"/>
        <color indexed="30"/>
        <rFont val="Soberana Sans"/>
        <family val="3"/>
      </rPr>
      <t xml:space="preserve">
</t>
    </r>
  </si>
  <si>
    <t>[(Número de productores agropecuarios, pesqueros, acuícolas,  agroindustriales  y otros agentes económicos del medio rural en su conjunto que reciben financiamiento para la inversión en equipamiento e infraestructura en localidades de media, alta y muy alta marginación asociado al servicio de garantías del Componente en el año t0+1/Número de productores agropecuarios, pesqueros, acuícolas,  agroindustriales  y otros agentes económicos del medio rural en su conjunto que reciben financiamiento para la inversión en equipamiento e infraestructura en lo calidades de media, alta y muy alta marginación, asociado al servicio de garantías del Componente en el año  t0)-1)*100</t>
  </si>
  <si>
    <r>
      <t>Porcentaje de superficie libre de moscas de la fruta conservada</t>
    </r>
    <r>
      <rPr>
        <i/>
        <sz val="10"/>
        <color indexed="30"/>
        <rFont val="Soberana Sans"/>
        <family val="3"/>
      </rPr>
      <t xml:space="preserve">
</t>
    </r>
  </si>
  <si>
    <t>(Superficie libre de moscas de la fruta conservada en el año t / Superficie libre de moscas de la fruta reconocida al año t) *100</t>
  </si>
  <si>
    <t>Estratégico-Eficacia-Semestral</t>
  </si>
  <si>
    <r>
      <t>Porcentaje de Estados conservados como libres de Fiebre Porcina Clásica y enfermedad de Newcastle presentación velogénica</t>
    </r>
    <r>
      <rPr>
        <i/>
        <sz val="10"/>
        <color indexed="30"/>
        <rFont val="Soberana Sans"/>
        <family val="3"/>
      </rPr>
      <t xml:space="preserve">
</t>
    </r>
  </si>
  <si>
    <t>(Estados conservados como libres de Fiebre Porcina Clásica  y enfermedad de Newcastle presentación velogénica en el año t / Estados  libres de Fiebre Porcina Clásica y enfermedad de Newcastle presentación velogénica  reconocidos al año t) *100</t>
  </si>
  <si>
    <r>
      <t>Porcentaje de Estados,  regiones o municipios en erradicación de Tuberculosis Bovina  en el año</t>
    </r>
    <r>
      <rPr>
        <i/>
        <sz val="10"/>
        <color indexed="30"/>
        <rFont val="Soberana Sans"/>
        <family val="3"/>
      </rPr>
      <t xml:space="preserve">
</t>
    </r>
  </si>
  <si>
    <t>(Estados, regiones o municipios en erradicación de Tuberculosis Bovina realizados el año t / Estados, regiones o municipios en erradicación de Tuberculosis Bovina programados en el  año t) *100</t>
  </si>
  <si>
    <t>A Esquemas de administración de riesgos financieros otorgados para mantener y profundizar el financiamiento de productores agropecuarios, pesqueros, acuícolas, agroindustriales y otros agentes económicos del medio rural.</t>
  </si>
  <si>
    <r>
      <t>Tasa de variación anual del financiamiento asociado al uso de esquemas de administración de riesgos apoyados a través del Componente.</t>
    </r>
    <r>
      <rPr>
        <i/>
        <sz val="10"/>
        <color indexed="30"/>
        <rFont val="Soberana Sans"/>
        <family val="3"/>
      </rPr>
      <t xml:space="preserve">
</t>
    </r>
  </si>
  <si>
    <t>((Monto de financiamiento asociado al otorgamiento de apoyos a través de  esquemas de adminitración de riesgos del Componente en el año t0+1/Monto de financiamiento asociado al otorgamiento de apoyos a través de esquemas de adminitración de riesgos del Componente en el año t0)-1)*100</t>
  </si>
  <si>
    <t>B Proyectos sanitarios y de inocuidad convenidos para mejorar y preservar las condiciones sanitarias y de inocuidad agroalimentaria del país</t>
  </si>
  <si>
    <r>
      <t>Porcentaje de proyectos de campaña fitozoosanitarios, acuícolas y pesqueros, acciones de reducción de riesgos de contaminación, vigilancia epidemiológica e inspección de la movilización convenidos</t>
    </r>
    <r>
      <rPr>
        <i/>
        <sz val="10"/>
        <color indexed="30"/>
        <rFont val="Soberana Sans"/>
        <family val="3"/>
      </rPr>
      <t xml:space="preserve">
</t>
    </r>
  </si>
  <si>
    <t>(Número de proyectos de campaña fitozoosanitarios, acuícolas y pesqueros, acciones de reducción de riesgos de contaminación, vigilancia epidemiológica e inspección de la movilización convenidos en el año t / Número de proyectos fe campaña fitozoosanitarios, acuícolas y pesqueros, acciones de reducción de riesgos de contaminación, vigilancia epidemiológica e inspección de la movilización programados en el año t)*100</t>
  </si>
  <si>
    <t>Gestión-Eficacia-Semestral</t>
  </si>
  <si>
    <t>C Apoyos economicos entregados a los productores agropecuarios para atender contingencias de mercado.</t>
  </si>
  <si>
    <r>
      <t>Porcentaje de volúmenes excedentarios (comercializables) y/o con problemas de comercialización apoyados con respecto al total producido</t>
    </r>
    <r>
      <rPr>
        <i/>
        <sz val="10"/>
        <color indexed="30"/>
        <rFont val="Soberana Sans"/>
        <family val="3"/>
      </rPr>
      <t xml:space="preserve">
</t>
    </r>
  </si>
  <si>
    <t xml:space="preserve">(Sumatoria de volúmenes excedentarios (comercializables) y/o con problemas de comercialización de productos elegibles (frijol, maíz, sorgo y trigo) apoyados / Total de volumen producido de productos elegibles (frijol, maíz, sorgo y trigo)) *100  </t>
  </si>
  <si>
    <t>D Cobertura por desastres naturales perturbadores para protección de los Productores Agropecuarios y Pesqueros</t>
  </si>
  <si>
    <r>
      <t>índice de siniestralidad</t>
    </r>
    <r>
      <rPr>
        <i/>
        <sz val="10"/>
        <color indexed="30"/>
        <rFont val="Soberana Sans"/>
        <family val="3"/>
      </rPr>
      <t xml:space="preserve">
</t>
    </r>
  </si>
  <si>
    <t xml:space="preserve">(Monto total de indemnizaciones pagadas por las aseguradoras/total de primas pagadas)*100 </t>
  </si>
  <si>
    <t>Estratégico-Economía-Anual</t>
  </si>
  <si>
    <r>
      <t xml:space="preserve">Potenciación de los recursos públicos (federal y estatal) ante la ocurrencia de desastres naturales </t>
    </r>
    <r>
      <rPr>
        <i/>
        <sz val="10"/>
        <color indexed="30"/>
        <rFont val="Soberana Sans"/>
        <family val="3"/>
      </rPr>
      <t xml:space="preserve">
</t>
    </r>
  </si>
  <si>
    <t>Monto de recursos que protegen a las actividades productivas de productores del sector rural ante la ocurrencia de desastres naturales/ Monto de los recursos públicos asignados</t>
  </si>
  <si>
    <t>E Garantías ortogadas a productores agropecuarios, pesqueros, acuícolas, agroindustriales y otros agentes económicos del medio rural, que permiten respaldar financiamiento dirigido a la inversión en equipamiento e infraestructura</t>
  </si>
  <si>
    <r>
      <t>Tasa de variación anual del financiamiento asociado al uso de garantías apoyados a través del Componente.</t>
    </r>
    <r>
      <rPr>
        <i/>
        <sz val="10"/>
        <color indexed="30"/>
        <rFont val="Soberana Sans"/>
        <family val="3"/>
      </rPr>
      <t xml:space="preserve">
</t>
    </r>
  </si>
  <si>
    <t>((Monto de financiamiento destinado a la inversión en equipamiento e infraestructura en localidades de media, alta y muy alta marginación,  asociado a las garantías del Componente en el año t0+1 /Monto de crédito dirigido a la inversión en equipamiento e infraestructura en localidades de media, alta y muy alta marginación, asociado a las garantías del Componente  en el año tn)-1)*100</t>
  </si>
  <si>
    <t>A 1 Potenciación de recursos federales destinados a los esquemas de administración de riesgos financieros del Componente</t>
  </si>
  <si>
    <r>
      <t>Potenciación de recursos federales destinados a los esquemas de administración de riesgos financieros del Componente</t>
    </r>
    <r>
      <rPr>
        <i/>
        <sz val="10"/>
        <color indexed="30"/>
        <rFont val="Soberana Sans"/>
        <family val="3"/>
      </rPr>
      <t xml:space="preserve">
</t>
    </r>
  </si>
  <si>
    <t>Monto de financiamiento otorgado a los productores agropecuarios, pesqueros, acuícolas,  agroindustriales  y otros agentes económicos del medio rural en su conjunto, asociado a los esquemas de administración de riesgos del Componente en el periodo/ Monto de recursos públicos destinados en el periodo a esquemas de administración de riesgos financieros</t>
  </si>
  <si>
    <t>Veces</t>
  </si>
  <si>
    <t>A 2 Supervisión a la operación realizada por las Instancias Ejecutoras al Componente.</t>
  </si>
  <si>
    <r>
      <t xml:space="preserve">Porcentaje de esquemas de supervisión realizados por la Unidad Responsable a las Instancias Ejecutoras </t>
    </r>
    <r>
      <rPr>
        <i/>
        <sz val="10"/>
        <color indexed="30"/>
        <rFont val="Soberana Sans"/>
        <family val="3"/>
      </rPr>
      <t xml:space="preserve">
</t>
    </r>
  </si>
  <si>
    <t>(Sumatoria de esquemas de supervisión realizados a  las Instancias Ejecutoras del Componente en el periodo/ Sumatoria del total de esquemas de supervisión autorizados al Componente en el período)*100</t>
  </si>
  <si>
    <t>B 3 Operación de sistemas de control de la movilización interna.</t>
  </si>
  <si>
    <r>
      <t>Porcentaje de embarques con mercancía agropecuaria que cumplen con la normatividad sanitaria</t>
    </r>
    <r>
      <rPr>
        <i/>
        <sz val="10"/>
        <color indexed="30"/>
        <rFont val="Soberana Sans"/>
        <family val="3"/>
      </rPr>
      <t xml:space="preserve">
</t>
    </r>
  </si>
  <si>
    <t xml:space="preserve">(Número de embarques con mercancía agropecuaria que cumplen con la normatividad sanitaria en el año t / Número total de embarques con mercancía agropecuaria inspeccionados en el año t) * 100 </t>
  </si>
  <si>
    <t>B 4 Certificación y/o reconocimiento de unidades de producción y/o procesamiento primario con la implementación de Sistemas de Reducción de Riesgos de Contaminación y Buenas Prácticas, de productos de origen agrícola, pecuario y acuícola y pesquero</t>
  </si>
  <si>
    <r>
      <t>Porcentaje de variación de unidades de producción y/o procesamiento primario  de productos agropecuarios y acuícolas certificadas y/o reconocidas en Sistemas de Reducción de Riesgos de Contaminación y Buenas Prácticas</t>
    </r>
    <r>
      <rPr>
        <i/>
        <sz val="10"/>
        <color indexed="30"/>
        <rFont val="Soberana Sans"/>
        <family val="3"/>
      </rPr>
      <t xml:space="preserve">
</t>
    </r>
  </si>
  <si>
    <t xml:space="preserve">(Número de unidades de producción y/o procesamiento primario, certificadas y/o reconocidas en Sistemas de Reducción de Riesgos de Contaminación  y Buenas Prácticas en el año t / Número de unidades de producción y/o procesamiento primario certificadas y/o reconocidas en Sistemas de Reducción de Riesgos  de Contaminación y Buenas Prácticas en el año t-1)*100 </t>
  </si>
  <si>
    <t>B 5 Apoyos entregados a productores para el sacrificio de ganado en Rastros TIF que favorecen la inocuidad</t>
  </si>
  <si>
    <r>
      <t>Porcentaje de productores elegibles que reciben el apoyo con respecto a los productores que se registran en el Sistema Informático de Gestión</t>
    </r>
    <r>
      <rPr>
        <i/>
        <sz val="10"/>
        <color indexed="30"/>
        <rFont val="Soberana Sans"/>
        <family val="3"/>
      </rPr>
      <t xml:space="preserve">
</t>
    </r>
  </si>
  <si>
    <t>(Productores elegibles que reciben el apoyo en el año t / productores que se registran en el Sistema Informático de Gestión en el año t )*100</t>
  </si>
  <si>
    <r>
      <t>Porcentaje de cabezas de ganado que reciben apoyo con respecto a las cabezas de ganado que se sacrifican en Establecimientos Tipo Inspección Federal</t>
    </r>
    <r>
      <rPr>
        <i/>
        <sz val="10"/>
        <color indexed="30"/>
        <rFont val="Soberana Sans"/>
        <family val="3"/>
      </rPr>
      <t xml:space="preserve">
</t>
    </r>
  </si>
  <si>
    <t>(Número de cabezas de ganado que reciben apoyo en el año t / Número total de cabezas  de ganado que se sacrifican en los rastros Tipo Inspección Federal en el año t) *100</t>
  </si>
  <si>
    <t>B 6 Ejecución de proyectos sanitarios para mejorar y preservar las condiciones de sanidad acuícola en el país</t>
  </si>
  <si>
    <r>
      <t>Porcentaje de Unidades de Producción Acuícola atendidas con acciones sanitarias</t>
    </r>
    <r>
      <rPr>
        <i/>
        <sz val="10"/>
        <color indexed="30"/>
        <rFont val="Soberana Sans"/>
        <family val="3"/>
      </rPr>
      <t xml:space="preserve">
</t>
    </r>
  </si>
  <si>
    <t>(Número de unidades de producción acuícolas atendidas en el año t/ Número de unidades de producción acuícola en operación en el año t) *100</t>
  </si>
  <si>
    <t>C 7 Adquisición de coberturas de precios de los productos agropecuarios entregados</t>
  </si>
  <si>
    <r>
      <t>Porcentaje del volumen comercializado de cultivos elegibles (maíz, sorgo, soya y trigo) que es cubierta anualmente con agricultura por contrato por el componente.</t>
    </r>
    <r>
      <rPr>
        <i/>
        <sz val="10"/>
        <color indexed="30"/>
        <rFont val="Soberana Sans"/>
        <family val="3"/>
      </rPr>
      <t xml:space="preserve">
Indicador Seleccionado</t>
    </r>
  </si>
  <si>
    <t>(Sumatoria del volumen apoyado de productos elegibles (maíz, sorgo, soya y trigo) por estado /Sumatoria de volumen producido de productos elegibles en los estados apoyados por ciclo agrícola)*100</t>
  </si>
  <si>
    <r>
      <t>Porcentaje de productores beneficiarios con coberturas de precios subsidiados respecto a la población objetivo.</t>
    </r>
    <r>
      <rPr>
        <i/>
        <sz val="10"/>
        <color indexed="30"/>
        <rFont val="Soberana Sans"/>
        <family val="3"/>
      </rPr>
      <t xml:space="preserve">
</t>
    </r>
  </si>
  <si>
    <t>(Sumatoria de productores apoyados en coberturas de productos elegibles (algodón, maíz, sorgo y trigo) por estado / Población Objetivo de productos elegibles)*100</t>
  </si>
  <si>
    <r>
      <t>Porcentaje del volumen comercializado de cultivos elegibles (algodón, ganado bovino, ganado porcino, maíz, sorgo, soya y trigo) que es cubierta anualmente con cobertura de precios por el componente.</t>
    </r>
    <r>
      <rPr>
        <i/>
        <sz val="10"/>
        <color indexed="30"/>
        <rFont val="Soberana Sans"/>
        <family val="3"/>
      </rPr>
      <t xml:space="preserve">
</t>
    </r>
  </si>
  <si>
    <t>(Sumatoria del volumen apoyado por cobertura de precio de cultivos elegibles (algodón, ganado bovino, ganado porcino, maíz, sorgo, soya y trigo) por ciclo agrícola  / Sumatoria de volumen producido de productos elegibles (algodón, ganado bovino, ganado porcino, maíz, sorgo, soya y trigo) por ciclo agrícola)*100.</t>
  </si>
  <si>
    <t>C 8 Apoyo para compensar el ingresos de los productores, otorgado.</t>
  </si>
  <si>
    <r>
      <t>Porcentaje de productores beneficiarios con ingreso objetivo respecto a la población objetivo</t>
    </r>
    <r>
      <rPr>
        <i/>
        <sz val="10"/>
        <color indexed="30"/>
        <rFont val="Soberana Sans"/>
        <family val="3"/>
      </rPr>
      <t xml:space="preserve">
</t>
    </r>
  </si>
  <si>
    <t>(Sumatoria de productores apoyados con ingreso objetivo de productos elegibles (algodón, arroz, maíz, sorgo, soya y trigo) por estado / Población Objetivo de productos elegibles)*100</t>
  </si>
  <si>
    <r>
      <t>Porcentaje del volumen comercializado de cultivos elegibles (algodón, arroz, maíz, sorgo, soya y trigo) que es cubierto anualmente con ingreso objetivo.</t>
    </r>
    <r>
      <rPr>
        <i/>
        <sz val="10"/>
        <color indexed="30"/>
        <rFont val="Soberana Sans"/>
        <family val="3"/>
      </rPr>
      <t xml:space="preserve">
</t>
    </r>
  </si>
  <si>
    <t>(Sumatoria del volumen apoyado de algodón, arroz, maíz, sorgo, soya y trigo por Ingreso Objetivo por estado / sumatoria de volumen producido en los estados apoyados por ciclo agrícola)*100</t>
  </si>
  <si>
    <t>C 9 Apoyos temporales a los costos de comercialización de granos y oleaginosas, otorgados.</t>
  </si>
  <si>
    <r>
      <t>Porcentaje de beneficiarios apoyados sobre la población objetivo en comercialización</t>
    </r>
    <r>
      <rPr>
        <i/>
        <sz val="10"/>
        <color indexed="30"/>
        <rFont val="Soberana Sans"/>
        <family val="3"/>
      </rPr>
      <t xml:space="preserve">
</t>
    </r>
  </si>
  <si>
    <t>(Sumatoria de productores apoyados en comercialización de productos elegibles por estado / Población Objetivo )*100</t>
  </si>
  <si>
    <r>
      <t>Porcentaje del volumen comercializado de cultivos elegibles (maíz, sorgo, trigo y frijol) que es cubierto anualmente para el ordenamiento del mercado (por ciclo agrícola y producto).</t>
    </r>
    <r>
      <rPr>
        <i/>
        <sz val="10"/>
        <color indexed="30"/>
        <rFont val="Soberana Sans"/>
        <family val="3"/>
      </rPr>
      <t xml:space="preserve">
</t>
    </r>
  </si>
  <si>
    <t>(Sumatoria del volumen apoyado de productos elegibles por ciclo agrícola / sumatoria de volumen producido de productos elegibles por ciclo agrícola)*100</t>
  </si>
  <si>
    <t>C 10 Apoyos temporales para fomentar el uso de los esquemas de agricultura por contrato, otorgados.</t>
  </si>
  <si>
    <r>
      <t>Porcentaje de productores beneficiarios de agricultura por esquemas de producción por contrato respecto a la población objetivo</t>
    </r>
    <r>
      <rPr>
        <i/>
        <sz val="10"/>
        <color indexed="30"/>
        <rFont val="Soberana Sans"/>
        <family val="3"/>
      </rPr>
      <t xml:space="preserve">
</t>
    </r>
  </si>
  <si>
    <t>(Sumatoria de productores apoyados en agricultura por contrato de productos elegibles (maíz, sorgo, soya y trigo) por estado / Población Objetivo de productos elegibles)*100</t>
  </si>
  <si>
    <t>D 11 Contratación de Pólizas para asegurar activos productivos ante la ocurrencia de desastres naturales</t>
  </si>
  <si>
    <r>
      <t xml:space="preserve">Porcentaje de superficie elegible asegurada ante la ocurrencia de desastres naturales </t>
    </r>
    <r>
      <rPr>
        <i/>
        <sz val="10"/>
        <color indexed="30"/>
        <rFont val="Soberana Sans"/>
        <family val="3"/>
      </rPr>
      <t xml:space="preserve">
</t>
    </r>
  </si>
  <si>
    <t>(Superficie elegible asegurada contra desastres naturales /total de superficie elegible)*100</t>
  </si>
  <si>
    <r>
      <t xml:space="preserve">Porcentaje de unidades animal aseguradas ante la ocurrencia de desastres naturales </t>
    </r>
    <r>
      <rPr>
        <i/>
        <sz val="10"/>
        <color indexed="30"/>
        <rFont val="Soberana Sans"/>
        <family val="3"/>
      </rPr>
      <t xml:space="preserve">
</t>
    </r>
  </si>
  <si>
    <t>(Unidades animal elegible asegurada contra desastres naturales /total de unidades animal elegible)*100</t>
  </si>
  <si>
    <t>E 12 Supervisión a la operación realizada por las Instancias Ejecutoras al Componente.</t>
  </si>
  <si>
    <r>
      <t xml:space="preserve">Tasa de variación del ingreso bruto de los productores beneficiarios de los apoyos al Ingreso Objetivo y a la Comercialización proveniente de sus activadades económicas.
</t>
    </r>
    <r>
      <rPr>
        <sz val="10"/>
        <rFont val="Soberana Sans"/>
        <family val="2"/>
      </rPr>
      <t xml:space="preserve"> Causa : ASERCA ha logrado que los productores comercialicen sus productos con certeza de obtener un ingreso mínimo con base en precios de mercado, instrumentando para ello los Apoyos Complementarios para Compensación de Bases en Agricultura por Contrato, entre otros; incluyendo la cobertura de precios como una herramienta eficiente para administrar los riesgos de movimientos adversos como es el caso del maíz cuya tendencia en el precio ha sido a la baja afectando el ingreso del productor.  Efecto: Con la aplicación presupuestal y las estrategias comerciales instrumentadas, se dio certeza a las transacciones comerciales, y se aseguró el abasto de los productos al generar condiciones que estabilizaron los niveles de precios a lo largo del periodo de colocación y consumo, incrementando en un 8.15% el ingreso de los productores. No obstante, el panorama se ve complicado pues los precios siguen manteniendo la tendencia bajista, traduciendose en menores ingresos para el productor. Otros Motivos:</t>
    </r>
  </si>
  <si>
    <r>
      <t xml:space="preserve">Porcentaje de incremento  de los productores del medio rural que cuentan con apoyos al Ingreso Objetivo y a la Comercialización.
</t>
    </r>
    <r>
      <rPr>
        <sz val="10"/>
        <rFont val="Soberana Sans"/>
        <family val="2"/>
      </rPr>
      <t xml:space="preserve"> Causa : Debido a que al aplicar el método de cálculo arroja un número negativo en el resultado de la meta del indicador (-6.23), y el sistema del PASH no permite capturar números negativos, se modificó el cálculo para expresar que hubo un descenso en la meta del indicador quedando como meta alcanzada el 93.77%.     Asímismo, como el indicador reporta meta alcanzada con signo negativo para el cálculo del Porcentaje de cumplimiento se aplicaron las siguientes fórmulas: (Numerador de la meta alcanzada / numerador de la meta modificada) x 100. ( 242334/359026.6)x100=67.49.  El comportamiento del indicador se debió a que al cierre del ejercicio fiscal anterior (2012), el precio del maíz se ubicó en 273.02 dólares por tonelada, sin embargo a lo largo del ejercicio fiscal 2013 sufrió una fuerte caída reflejando un impacto considerable en el ingreso de los productores, por lo que la postura gubernamental inmediata fue la instrumentación del esquema de Agricultura por Contrato, en primera instancia para  tratar de garantizar la comercialización del grano y en segunda promover la toma de coberturas para proteger al beneficiario de caidas subsecuentes ante la tendencia a la baja en los precios en el mercado internacional. Efecto: Con la aplicación presupuestal y las estrategias comerciales instrumentadas, se dio certeza a las transacciones comerciales, y se aseguró el abasto de los productos al generar condiciones que estabilizaron los niveles de precios a lo largo del periodo de colocación y consumo, incrementando en un 8.15% el ingreso de los productores. No obstante, el panorama se ve complicado pues los precios siguen manteniendo la tendencia bajista, traduciendose en menores ingresos para el productor. Otros Motivos:</t>
    </r>
  </si>
  <si>
    <r>
      <t xml:space="preserve">Porcentaje de productores del sector rural y pesquero que cuentan con apoyos ante afectaciones por desastres naturales 
</t>
    </r>
    <r>
      <rPr>
        <sz val="10"/>
        <rFont val="Soberana Sans"/>
        <family val="2"/>
      </rPr>
      <t xml:space="preserve"> Causa : Se superó la meta en virtud al interes de los Gobiernos Estatales en asegurar hectáreas y unidades animal y por la afectación directa de fenomenos naturales de alto impacto como de los huracanes Ingrid y Manuel. Efecto: El Gobierno Federal y los Gobiernos Estatales contaron con un instrumento de respuesta inmediata ante ocurrencia de desastrers naturales para apoyar a productores de bajos ingresos afectados princiaplmente por heladas en el mes de marzo, inundaciónes por los Huracanes Ingrid y Manuel en el mes de septiembre y sequías a inicio del año. Otros Motivos:</t>
    </r>
  </si>
  <si>
    <r>
      <t xml:space="preserve">Tasa de variación anual de productores agropecuarios, pesqueros, acuícolas,  agroindustriales  y otros agentes económicos del medio rural en su conjunto que reciben apoyos para la administración de riesgos financieros 
</t>
    </r>
    <r>
      <rPr>
        <sz val="10"/>
        <rFont val="Soberana Sans"/>
        <family val="2"/>
      </rPr>
      <t xml:space="preserve"> Causa : La superación de la meta se debe principalmente a la consolidación de la estrategia del Fondo de Garantías, que buscó privilegiar a los productores de bajos y medios ingresos (PD1 Y PD2) de acuerdo a la clasificación de FIRA, los cuales, tradicionalmente habían tenido dificultades para acceder al crédito formal. Efecto: Una mayor inclusión de nuevos socios a los servicios financieros en el medio rural, especificamente en las comunidades localizadas en los municipios de Media y alta marginación. Otros Motivos:</t>
    </r>
  </si>
  <si>
    <r>
      <t xml:space="preserve">Tasa de variación anual de productores agropecuarios, pesqueros, acuícolas,  agroindustriales  y otros agentes económicos del medio rural en su conjunto, que reciben financiamiento para la inversión en equipamiento e infraestructura en localidades de media, alta y muy alta marginación
</t>
    </r>
    <r>
      <rPr>
        <sz val="10"/>
        <rFont val="Soberana Sans"/>
        <family val="2"/>
      </rPr>
      <t xml:space="preserve"> Causa : A este respecto, le informo que derivado de la supervisión que realizara la Instancia Ejecutora (Financiera Rural) y que mediante oficio No. DGAPNCR/452/2013, de fecha 08 de octubre del presente año, nos notificara la situación del Fondo de Inducción para la Inversión en Localidades de Media, Alta y Muy Alta Marginación (FOINI), en cuanto a su operación en el ejercicio 2013, informando que la única solicitud que se tenía solicitada fue cancelada debido a que no cumplió con los requisitos establecidos en los Criterios Técnicos de Operación del Fondo, dado que se solicitaban garantías adicionales. Es importante aclarar que dicho Fondo ha quedado sin recursos debido a la resignación de los mismos a otro Componente, por lo que no existirán operaciones futuras. Efecto: Aunado a lo anterior, es importante señalar y con fundamento en el Artículo 35, fracción IV de las Reglas de Operación 2013 de la SAGARPA, el cual establece que los recursos que a más tardar al cierre del mes de junio del ejercicio fiscal en operación se encuentren disponibles por no existir solicitudes de apoyo, podrán reasignarse al Componente Garantías (Administración de Riesgos Financieros) del Programa de Prevención y Manejo de Riesgos. Derivado lo anterior, y con la finalidad de aprovechar los recursos del FOINI de manera eficaz, la SAGARPA solicitó a la instancia ejecutora (Financiera Rural) transferir los recursos del FOINI al Fondo PROFIN Otros Motivos:</t>
    </r>
  </si>
  <si>
    <r>
      <t xml:space="preserve">Porcentaje de superficie libre de moscas de la fruta conservada
</t>
    </r>
    <r>
      <rPr>
        <sz val="10"/>
        <rFont val="Soberana Sans"/>
        <family val="2"/>
      </rPr>
      <t xml:space="preserve"> Causa : Se ha conservado el estatus libre de todas las zonas declaradas como libres de moscas de la fruta. Efecto: El efecto es positivo ya que el estatus libre facilita la comercialización de los productos hortofrutícolas de las zonas libres. Otros Motivos:</t>
    </r>
  </si>
  <si>
    <r>
      <t xml:space="preserve">Porcentaje de Estados conservados como libres de Fiebre Porcina Clásica y enfermedad de Newcastle presentación velogénica
</t>
    </r>
    <r>
      <rPr>
        <sz val="10"/>
        <rFont val="Soberana Sans"/>
        <family val="2"/>
      </rPr>
      <t xml:space="preserve"> Causa : La meta se encuentra dentro del umbral verde-amarillo Efecto: La meta se encuentra dentro del umbral verde-amarillo Otros Motivos:</t>
    </r>
  </si>
  <si>
    <r>
      <t xml:space="preserve">Porcentaje de Estados,  regiones o municipios en erradicación de Tuberculosis Bovina  en el año
</t>
    </r>
    <r>
      <rPr>
        <sz val="10"/>
        <rFont val="Soberana Sans"/>
        <family val="2"/>
      </rPr>
      <t xml:space="preserve"> Causa : La meta se encuentra dentro del umbral verde-amarillo Efecto: La meta se encuentra dentro del umbral verde-amarillo Otros Motivos:</t>
    </r>
  </si>
  <si>
    <r>
      <t xml:space="preserve">Tasa de variación anual del financiamiento asociado al uso de esquemas de administración de riesgos apoyados a través del Componente.
</t>
    </r>
    <r>
      <rPr>
        <sz val="10"/>
        <rFont val="Soberana Sans"/>
        <family val="2"/>
      </rPr>
      <t xml:space="preserve"> Causa : Se rebasó la meta del crédito, debido a la gran oferta de créditos de parte de los Intermediarios Financieros. La superación de la meta se debe principalmente a la consolidación de la estrategia del Fondo de Garantías, que buscó privilegiar a los productores de bajos y medios ingresos, los cuales, tradicionalmente habían tenido dificultades para acceder al crédito formal. Efecto: Mayor crédito asociado por los apoyos otorgados por el Fondo de Garantías. Otros Motivos:</t>
    </r>
  </si>
  <si>
    <r>
      <t xml:space="preserve">Porcentaje de proyectos de campaña fitozoosanitarios, acuícolas y pesqueros, acciones de reducción de riesgos de contaminación, vigilancia epidemiológica e inspección de la movilización convenidos
</t>
    </r>
    <r>
      <rPr>
        <sz val="10"/>
        <rFont val="Soberana Sans"/>
        <family val="2"/>
      </rPr>
      <t xml:space="preserve"> Causa : La meta esta por arriba de lo programado debido a que mediante la formalización de los 32 Acuerdos Específicos con las Entidades Federativas del país, se conveniaron un total de 962 proyectos de Sanidad e Inocuidad, 5% más de los programados, esto debido que la aportación estatal se incremento con respecto al año anterior en 11.2%. Efecto: El efecto es positivo debido a que se operaran más proyectos de Sanidad e Inocuidad. Otros Motivos:</t>
    </r>
  </si>
  <si>
    <r>
      <t xml:space="preserve">Porcentaje de volúmenes excedentarios (comercializables) y/o con problemas de comercialización apoyados con respecto al total producido
</t>
    </r>
    <r>
      <rPr>
        <sz val="10"/>
        <rFont val="Soberana Sans"/>
        <family val="2"/>
      </rPr>
      <t xml:space="preserve"> Causa : El avance reportado considera los apoyos para Acceso a Granos Forrajeros, Proceso Comercial, Compensación de Bases en Agricultura por Contrato, Inducción Productiva y Certificación de Calidad, adquiriendo mayor relevancia considerando la temporalidad específica los del ciclo agrícola Otoño-Invierno. No obstante la no participación en el ciclo agrícola Primavera-Verano 2012 representó una disminución en los volumenes de productos apoyados. Efecto: Al cierre del cuarto trimestre, en lo que refiere a los apoyos dirigidos a productores y compradores, se ha beneficiado a 188 compradores (personas físicas y/o morales) y 121,640 productores agropecuarios, representando una disminución en el número de productores beneficiarios debido principalmente a la no participación en el ciclo agrícola Primavera-Verano 2012. Otros Motivos:</t>
    </r>
  </si>
  <si>
    <r>
      <t xml:space="preserve">índice de siniestralidad
</t>
    </r>
    <r>
      <rPr>
        <sz val="10"/>
        <rFont val="Soberana Sans"/>
        <family val="2"/>
      </rPr>
      <t xml:space="preserve"> Causa : El indice de siniestralidad a la fecha es de (26%),  en virtud a que la vigencia de algunas de las pólizas contratadas para el cicló Otoño - Invierno 2013-2014 y de cultivos frutales comprenden hasta mayo de 2014. Efecto: El indice de siniestralidad va muy acorde al parametro de ocurrencia de desastres naturales según el portafolio de aseguramiento catastrófico contratado. Otros Motivos:</t>
    </r>
  </si>
  <si>
    <r>
      <t xml:space="preserve">Potenciación de los recursos públicos (federal y estatal) ante la ocurrencia de desastres naturales 
</t>
    </r>
    <r>
      <rPr>
        <sz val="10"/>
        <rFont val="Soberana Sans"/>
        <family val="2"/>
      </rPr>
      <t xml:space="preserve"> Causa : Se superó la meta en virtud a: 1) En la parte agrícola creció el portafolio de aseguramiento de 9.6 millones de hectáreas aseguradas en 2012 a 12 millones de hectáreas aseguradas en 2013, lo que implica mayor dispersión y por ende menor costo de primas y; 2) En la parte ganadera creció el portafolio de aseguramiento de 5.6 millones de unidades animal en 2012 a 10 millones de unidades animal aseguradas en 2013 con la incorporación de un portafolio de aseguramiento de los propios productores a menores costos de seguro. Efecto: El Gobierno Federal, los Gobiernos Estatales y los productores pudieron contar con un instrumento de reincorporación productiva ante desastres naturales de alto impacto. Otros Motivos:</t>
    </r>
  </si>
  <si>
    <r>
      <t xml:space="preserve">Tasa de variación anual del financiamiento asociado al uso de garantías apoyados a través del Componente.
</t>
    </r>
    <r>
      <rPr>
        <sz val="10"/>
        <rFont val="Soberana Sans"/>
        <family val="2"/>
      </rPr>
      <t xml:space="preserve"> Causa : A este respecto, le informo que derivado de la supervisión que realizara la Instancia Ejecutora (Financiera Rural) y que mediante oficio No. DGAPNCR/452/2013, de fecha 08 de octubre del presente año, nos notificara la situación del Fondo de Inducción para la Inversión en Localidades de Media, Alta y Muy Alta Marginación (FOINI), en cuanto a su operación en el ejercicio 2013, informando que la única solicitud que se tenía solicitada fue cancelada debido a que no cumplió con los requisitos establecidos en los Criterios Técnicos de Operación del Fondo, dado que se solicitaban garantías adicionales. Es importante aclarar que dicho Fondo ha quedado sin recursos debido a la resignación de los mismos a otro Componente, por lo que no existirán operaciones futuras. Efecto: Aunado a lo anterior, es importante señalar y con fundamento en el Artículo 35, fracción IV de las Reglas de Operación 2013 de la SAGARPA, el cual establece que los recursos que a más tardar al cierre del mes de junio del ejercicio fiscal en operación se encuentren disponibles por no existir solicitudes de apoyo, podrán reasignarse al Componente Garantías (Administración de Riesgos Financieros) del Programa de Prevención y Manejo de Riesgos. Derivado lo anterior, y con la finalidad de aprovechar los recursos del FOINI de manera eficaz, la SAGARPA solicitó a la instancia ejecutora (Financiera Rural) transferir los recursos del FOINI al Fondo PROFIN Otros Motivos:</t>
    </r>
  </si>
  <si>
    <r>
      <t xml:space="preserve">Potenciación de recursos federales destinados a los esquemas de administración de riesgos financieros del Componente
</t>
    </r>
    <r>
      <rPr>
        <sz val="10"/>
        <rFont val="Soberana Sans"/>
        <family val="2"/>
      </rPr>
      <t xml:space="preserve"> Causa : Se observa que se rebasó la meta establecida al segundo semestre, dado que la potenciación de recursos federales se contemplaba en 12. Efecto: Se cumplió con la meta programada. Otros Motivos:</t>
    </r>
  </si>
  <si>
    <r>
      <t xml:space="preserve">Porcentaje de esquemas de supervisión realizados por la Unidad Responsable a las Instancias Ejecutoras 
</t>
    </r>
    <r>
      <rPr>
        <sz val="10"/>
        <rFont val="Soberana Sans"/>
        <family val="2"/>
      </rPr>
      <t xml:space="preserve"> Causa : Se llevó a cabo la contratación del Servicio Integral de Supervisión de los Componentes 2013 a cargo de las "Direcciones Generales de Administración de Riesgos, Logística y Alimentación, y Zonas Tropicales de la Subsecretaría de Alimentación y Competitividad". Efecto: Se llevó a cabo el informe final de resultados de la supervisión, el cual, fue notificado a las Instancias Ejecutoras. Otros Motivos:</t>
    </r>
  </si>
  <si>
    <r>
      <t xml:space="preserve">Porcentaje de embarques con mercancía agropecuaria que cumplen con la normatividad sanitaria
</t>
    </r>
    <r>
      <rPr>
        <sz val="10"/>
        <rFont val="Soberana Sans"/>
        <family val="2"/>
      </rPr>
      <t xml:space="preserve"> Causa : La meta está ligeramente por arriba de lo programado debido a que una número mayor de usuarios cumplen con la normatividad. Es importante mencionar que el número de embarques movilizados así como el cumplimiento de la normatividad es determinado por los usuarios del servicio. Efecto: Sin efectos cuantificables Otros Motivos:</t>
    </r>
  </si>
  <si>
    <r>
      <t xml:space="preserve">Porcentaje de variación de unidades de producción y/o procesamiento primario  de productos agropecuarios y acuícolas certificadas y/o reconocidas en Sistemas de Reducción de Riesgos de Contaminación y Buenas Prácticas
</t>
    </r>
    <r>
      <rPr>
        <sz val="10"/>
        <rFont val="Soberana Sans"/>
        <family val="2"/>
      </rPr>
      <t xml:space="preserve"> Causa : La meta está por abajo de lo programado debido a que se recibieron menos solicitudes para reconocimientos y/o certificaciones de las estimadas al momento de la programación. Es importante mencionar que la solicitud es a petición de parte por lo cual no es una variable controlable. Efecto: Los efectos se reflejan en que las unidades  de producción o empaque que no obtienen y/o mantiene el  reconocimiento en  la aplicación de buenas prácticas, disminuyen las posibilidades de comercialización de sus productos en los mercado nacional e internacional. Otros Motivos:</t>
    </r>
  </si>
  <si>
    <r>
      <t xml:space="preserve">Porcentaje de productores elegibles que reciben el apoyo con respecto a los productores que se registran en el Sistema Informático de Gestión
</t>
    </r>
    <r>
      <rPr>
        <sz val="10"/>
        <rFont val="Soberana Sans"/>
        <family val="2"/>
      </rPr>
      <t xml:space="preserve"> Causa : La meta esta por debajo de lo programado en cuanto al número de productores apoyados debido al presupuesto asignado, sin embargo el número de cabezas sacrificadas fue mayor. Efecto: Se apoya a los productores de acuerdo al presupuesto asignado Otros Motivos:</t>
    </r>
  </si>
  <si>
    <r>
      <t xml:space="preserve">Porcentaje de cabezas de ganado que reciben apoyo con respecto a las cabezas de ganado que se sacrifican en Establecimientos Tipo Inspección Federal
</t>
    </r>
    <r>
      <rPr>
        <sz val="10"/>
        <rFont val="Soberana Sans"/>
        <family val="2"/>
      </rPr>
      <t xml:space="preserve"> Causa : La meta esta por arriba de lo programados debido a que se recibió presupuesto adicional para el apoyo a sacrificio en rastros TIF Efecto: El efecto es positivo ya que  se apoya a un número mayor de cabezas para ser sacrificadas en rastros TIF contribuyendo a incrementar la oferta de carne inocua. Otros Motivos:</t>
    </r>
  </si>
  <si>
    <r>
      <t xml:space="preserve">Porcentaje de Unidades de Producción Acuícola atendidas con acciones sanitarias
</t>
    </r>
    <r>
      <rPr>
        <sz val="10"/>
        <rFont val="Soberana Sans"/>
        <family val="2"/>
      </rPr>
      <t xml:space="preserve"> Causa : La meta cuantitativamente está por debajo de lo programado, debido a que el número de unidades acuícola en operación fue menor al proyectado al momento de la programación. Sin embargo durante el ejercicio se atendió en su totalidad las unidades en operación.  Efecto: La variación no representa efectos cuantificables ya que se atendieron todas las unidades acuícolas en operación. Otros Motivos:</t>
    </r>
  </si>
  <si>
    <r>
      <t xml:space="preserve">Porcentaje del volumen comercializado de cultivos elegibles (maíz, sorgo, soya y trigo) que es cubierta anualmente con agricultura por contrato por el componente.
</t>
    </r>
    <r>
      <rPr>
        <sz val="10"/>
        <rFont val="Soberana Sans"/>
        <family val="2"/>
      </rPr>
      <t xml:space="preserve"> Causa : Considerando las condiciones del mercado internacional, las estimaciones de producción nacional, así como los excedentes estacionales y regionales, se implementaron los esquemas de Agricultura por Contrato para maíz, trigo, sorgo y soya, adquiriendo mayor relevancia los apoyos a la comercialización del ciclo agrícola Otoño-Invierno, como se refleja al cierre del cuarto trimestre. Efecto: Al cierre del cuarto trimestre, en lo que refiere a los apoyos para Compensación de Bases en Agricultura por Contrato dirigidos a productores y compradores, se apoyaron 8.3 millones de toneladas. Otros Motivos:</t>
    </r>
  </si>
  <si>
    <r>
      <t xml:space="preserve">Porcentaje de productores beneficiarios con coberturas de precios subsidiados respecto a la población objetivo.
</t>
    </r>
    <r>
      <rPr>
        <sz val="10"/>
        <rFont val="Soberana Sans"/>
        <family val="2"/>
      </rPr>
      <t xml:space="preserve"> Causa : Al cierre del ejercicio fiscal 2012, el precio del maíz se ubicó en 273.02 dólares por tonelada, sin embargo a lo largo del ejercicio fiscal 2013 sufrió una fuerte caída reflejando un impacto considerable en el ingreso de los productores, por lo que la postura gubernamental inmediata fué la instrumentación del esquema de coberturas para proteger al beneficiario de caidas subsecuentes ante la tendencia a la baja en los precios en el mercado internacional.    La falta de afluencia por parte de los participantes para el registro de contratos, refleja un decremento en el indicador. Efecto: Que continuen los problemas de comercialización y se resientan impactos negativos en el ingreso de los productores, como consecuencia de la tendencia a la baja del precio de los productos agropecuarios elegibles.              Otros Motivos:</t>
    </r>
  </si>
  <si>
    <r>
      <t xml:space="preserve">Porcentaje del volumen comercializado de cultivos elegibles (algodón, ganado bovino, ganado porcino, maíz, sorgo, soya y trigo) que es cubierta anualmente con cobertura de precios por el componente.
</t>
    </r>
    <r>
      <rPr>
        <sz val="10"/>
        <rFont val="Soberana Sans"/>
        <family val="2"/>
      </rPr>
      <t xml:space="preserve"> Causa : Los apoyos para la adquisición de coberturas, continúan siendo la estrategia más relevante a nivel sectorial.  El nivel de aceptación entre los beneficiarios se refleja en los volúmenes apoyados en los últimos ejercicios fiscales y se genera como consecuencia del comportamiento del mercado de granos y oleaginosas.  El índice alcanzado al cierre del cuarto trimestre del ejercicio fiscal 2013, continua rebasando considerablemente la meta planteada, derivado de que todos los agentes que participan prefieren evitar riesgos, es un factor que contribuye favorablemente a la administración de riesgos a nivel nacional. Efecto: Se cuenta con una herramienta empleada para minimizar el riesgo que se produce cuando los precios se mueven en forma adversa. La eficiencia de los apoyos para la adquisición de coberturas, se refleja considerablemente al cierre del mes de diciembre de 2013, reportando colocaciones en la bolsa de futuros de Chicago y Nueva York de 219,999 contratos de opciones sobre futuros call y put, que permitieron otorgar cobertura de precios a 16,124.5 miles de toneladas  comercializadas de algodón, maíz, sorgo y trigo, principalmente. Cabe destacar que el 100.0% de las solicitudes realizadas por los participantes fueron atendidas por ASERCA. Otros Motivos:</t>
    </r>
  </si>
  <si>
    <r>
      <t xml:space="preserve">Porcentaje de productores beneficiarios con ingreso objetivo respecto a la población objetivo
</t>
    </r>
    <r>
      <rPr>
        <sz val="10"/>
        <rFont val="Soberana Sans"/>
        <family val="2"/>
      </rPr>
      <t xml:space="preserve"> Causa : El esquema no operó debido a que las condiciones del mercado fueron favorables para los productores.  A partir del primer trimestre del Ejercicio Fiscal 2013, como resultado de la tendencia que comenzó a observarse en los ejercicios fiscales anteriores (periodo 2007 al 2012), el precio de gran parte de los productos susceptibles de ser apoyados bajo este tipo de apoyo, se encontraron por encima de lo establecido como ingreso mínimo al productor como consecuencia de la situación de los precios en el mercado internacional de granos y oleaginosas. Efecto: Dependiendo del comportamiento de los precios en el mercado de futuros a partir de 2014, la tendencia de ejercicio de gasto de este tipo de apoyo se podría revertir, lo cual significaría el reposicionamiento del mismo, generando incentivos a productos elegibles de cosechas excedentarias y con problemas de comercialización.  Otros Motivos:</t>
    </r>
  </si>
  <si>
    <r>
      <t xml:space="preserve">Porcentaje del volumen comercializado de cultivos elegibles (algodón, arroz, maíz, sorgo, soya y trigo) que es cubierto anualmente con ingreso objetivo.
</t>
    </r>
    <r>
      <rPr>
        <sz val="10"/>
        <rFont val="Soberana Sans"/>
        <family val="2"/>
      </rPr>
      <t xml:space="preserve"> Causa : El esquema no operó debido a que las condiciones del mercado fueron favorables para los productores.  A partir del primer trimestre del Ejercicio Fiscal 2013, como resultado de la tendencia que comenzó a observarse en los ejercicios fiscales anteriores (periodo 2007 al 2012), el precio de gran parte de los productos susceptibles de ser apoyados bajo este tipo de apoyo, se encontraron por encima de lo establecido como ingreso mínimo al productor como consecuencia de la situación de los precios en el mercado internacional de granos y oleaginosas. Efecto: Dependiendo del comportamiento de los precios en el mercado de futuros a partir de 2014, la tendencia de ejercicio de gasto de este tipo de apoyos se podría revertir, lo cual significaría el reposicionamiento del mismo, generando incentivos a productos elegibles de cosechas excedentarias y con problemas de comercialización.  Otros Motivos:</t>
    </r>
  </si>
  <si>
    <r>
      <t xml:space="preserve">Porcentaje de beneficiarios apoyados sobre la población objetivo en comercialización
</t>
    </r>
    <r>
      <rPr>
        <sz val="10"/>
        <rFont val="Soberana Sans"/>
        <family val="2"/>
      </rPr>
      <t xml:space="preserve"> Causa : El avance reportado para el ordenamiento del mercado de granos y oleaginosas, representa la entrega de apoyos para acceso a granos forrajeros nacionales, proceso comercial, compensación de bases en agricultura por contrato, inducción productiva y certificación de calidad adquiriendo mayor relevancia al cierre del ejercicio de acuerdo a la temporalidad específica el ciclo agrícola Otoño-Invierno, el cual concluye en el mes de enero. No obstante la no participación en el ciclo agrícola Primavera-Verano 2012 representó una disminución en los volumenes de productos apoyados. Efecto: La entrega de los apoyos permitió estimular el aseguramiento de inventarios y la movilización de las cosechas hacia las zonas de consumo, ordenando los flujos de granos en los momentos oportunos para su colocación en el mercado. Al cierre del cuarto trimestre se ha beneficiado a 188 compradores (personas físicas y/o morales) y 121,640 productores agropecuarios, representando una disminución en el número de productores beneficiarios debido principalmente a la no participación en el ciclo agrícola Primavera-Verano 2012. Otros Motivos:</t>
    </r>
  </si>
  <si>
    <r>
      <t xml:space="preserve">Porcentaje del volumen comercializado de cultivos elegibles (maíz, sorgo, trigo y frijol) que es cubierto anualmente para el ordenamiento del mercado (por ciclo agrícola y producto).
</t>
    </r>
    <r>
      <rPr>
        <sz val="10"/>
        <rFont val="Soberana Sans"/>
        <family val="2"/>
      </rPr>
      <t xml:space="preserve"> Causa : El avance reportado para el ordenamiento del mercado de granos y oleaginosas, representa la entrega de apoyos para acceso a granos forrajeros nacionales, proceso comercial, compensación de bases en agricultura por contrato, inducción productiva y certificación de calidad adquiriendo mayor relevancia de acuerdo a la temporalidad específica el ciclo agrícola Otoño-Invierno, el cual concluye en el mes de enero. No obstante la no participación en el ciclo agrícola Primavera-Verano 2012 representó una disminución en los volumenes de productos apoyados. Efecto: La entrega de los apoyos permitió estimular el aseguramiento de inventarios y la movilización de las cosechas hacia las zonas de consumo, ordenando los flujos de granos en los momentos oportunos para su colocación en el mercado. Al cierre del cuarto trimestre se apoyaron 9.4 millones de toneladas, representando una disminución en el volumen de productos apoyados debido principalmente a la no intervención en el ciclo agrícola Primavera-Verano 2012. Otros Motivos:</t>
    </r>
  </si>
  <si>
    <r>
      <t xml:space="preserve">Porcentaje de productores beneficiarios de agricultura por esquemas de producción por contrato respecto a la población objetivo
</t>
    </r>
    <r>
      <rPr>
        <sz val="10"/>
        <rFont val="Soberana Sans"/>
        <family val="2"/>
      </rPr>
      <t xml:space="preserve"> Causa : Considerando las condiciones del mercado internacional, las estimaciones de producción nacional, así como los excedentes estacionales y regionales, se implementaron los esquemas de Agricultura por Contrato para maíz, trigo, sorgo y soya, adquiriendo mayor relevancia los apoyos a la comercialización del ciclo agrícola Otoño-Invierno, como se refleja al cierre del cuarto trimestre.     Efecto: Al cierre del cuarto trimestre, en lo que refiere a los apoyos para Compensación de Bases en Agricultura por Contrato dirigidos a productores y compradores, se ha beneficiado a 45 compradores (personas físicas y/o morales) y 77,591 productores agropecuarios. Otros Motivos:</t>
    </r>
  </si>
  <si>
    <r>
      <t xml:space="preserve">Porcentaje de superficie elegible asegurada ante la ocurrencia de desastres naturales 
</t>
    </r>
    <r>
      <rPr>
        <sz val="10"/>
        <rFont val="Soberana Sans"/>
        <family val="2"/>
      </rPr>
      <t xml:space="preserve"> Causa : Se superó la meta debido a que se aseguraró una mayor superficie elegible que la programada, en virtud a la mayor cantidad de recursos autorizados por la HCD para estos instrumentos de protección al pasar de 3,141 mdp en 2012 a 3,950 mdp en 2013. Efecto: Mayor protección de hectáreas a productores de bajos ingresos sin acceso a seguros comerciales ante la ocurrencia de fenomenos naturales de alto impacto. Otros Motivos:</t>
    </r>
  </si>
  <si>
    <r>
      <t xml:space="preserve">Porcentaje de unidades animal aseguradas ante la ocurrencia de desastres naturales 
</t>
    </r>
    <r>
      <rPr>
        <sz val="10"/>
        <rFont val="Soberana Sans"/>
        <family val="2"/>
      </rPr>
      <t xml:space="preserve"> Causa : Se superó la meta debido a que se aseguró una mayorcantidad de unidades animal que la programada, en virtud a la mayor cantidad de recursos autorizados por la HCD para estos instrumentos de protección al pasar de 3,141 mdp en 2012 a 3,950 mdp en 2013. Efecto: Mayor protección de unidades animal a productores de bajos ingresos sin acceso a seguros comerciales ante la ocurrencia de fenomenos naturales de alto impacto. Otros Motivos:</t>
    </r>
  </si>
  <si>
    <t>S233</t>
  </si>
  <si>
    <t>Programa de Desarrollo de Capacidades, Innovación Tecnológica y Extensionismo Rural</t>
  </si>
  <si>
    <t>413-Dirección General de Desarrollo de Capacidades y Extensionismo Rural</t>
  </si>
  <si>
    <t>Perspectiva de Género</t>
  </si>
  <si>
    <t>Contribuir al incremento de los ingresos de los productores rurales y pesqueros, provenientes de sus actividades económicas, mediante un aumento de sus capacidades generadas por estudios y acciones de investigación, asistencia técnica, capacitación y extensionismo en forma individual u organizada.</t>
  </si>
  <si>
    <r>
      <t>Tasa de variación del ingresos neto real de los productores rurales y pesqueros proveniente de sus activadades económicas.</t>
    </r>
    <r>
      <rPr>
        <i/>
        <sz val="10"/>
        <color indexed="30"/>
        <rFont val="Soberana Sans"/>
        <family val="3"/>
      </rPr>
      <t xml:space="preserve">
</t>
    </r>
  </si>
  <si>
    <t>[(Ingreso neto real de los productores rurales y pesqueros en el año t0+i / Ingreso neto real de los productores rurales y pesqueros en el año t0)-1] *100</t>
  </si>
  <si>
    <t xml:space="preserve">Productores rurales y pesqueros cuentan con mejores capacidades  y aplican las innovaciones tecnológicas a sus procesos productivos  </t>
  </si>
  <si>
    <r>
      <t>Porcentaje de beneficiarios que aplican las capacidades promovidas por los servicios de asistencia técnica, capacitación o extensionismo rural con respecto al total de beneficiarios atendidos.</t>
    </r>
    <r>
      <rPr>
        <i/>
        <sz val="10"/>
        <color indexed="30"/>
        <rFont val="Soberana Sans"/>
        <family val="3"/>
      </rPr>
      <t xml:space="preserve">
Indicador Seleccionado</t>
    </r>
  </si>
  <si>
    <t>[Productores rurales y pesqueros que cuentan con mejores capacidades y aplican las innovaciones tecnológicas en sus procesos productivos / Total de productores beneficiarios) *100</t>
  </si>
  <si>
    <t xml:space="preserve">A Innovaciones Desarrolladas para la competitividad y sustentabilidad del sector agroalimentario   </t>
  </si>
  <si>
    <r>
      <t>Porcentaje de Proyectos de Investigación, Validación y Transferencia de Tecnología, alineados a la Agenda de Innovación respecto al total de proyectos apoyados</t>
    </r>
    <r>
      <rPr>
        <i/>
        <sz val="10"/>
        <color indexed="30"/>
        <rFont val="Soberana Sans"/>
        <family val="3"/>
      </rPr>
      <t xml:space="preserve">
</t>
    </r>
  </si>
  <si>
    <t>(Número de Proyectos de investigación, validación y transferencia de tecnología alineados a la Agenda de Innovación apoyados / Número total de Proyectos de investigación, validación y transferencia de tecnología apoyados)*100</t>
  </si>
  <si>
    <t>B Productores rurales y pesqueros de zonas marginadas que aplican las capacidades promovidas por los servicios de asistencia técnica, capacitación o extensionismo rural que permiten mejorar la seguridad alimentaria</t>
  </si>
  <si>
    <r>
      <t>Porcentaje de beneficiarios de zonas marginadas que aplican las capacidades promovidas por los servicios de asistencia técnica, capacitación  o extensionismo rural.</t>
    </r>
    <r>
      <rPr>
        <i/>
        <sz val="10"/>
        <color indexed="30"/>
        <rFont val="Soberana Sans"/>
        <family val="3"/>
      </rPr>
      <t xml:space="preserve">
</t>
    </r>
  </si>
  <si>
    <t>(No. de Beneficiarios de zonas marginadas que aplican las capacidades promovidas por los servicios de asistencia técnica, capacitación  o extensionismo rural) /(Total de beneficiarios de zonas marginadas de los servicios de asistencia técnica, capacitación  o extensionismo rural)*100</t>
  </si>
  <si>
    <t>C Productores agropecuarios, pesqueros y acuícolas que aplican las capacidades promovidas por los servicios de asistencia técnica, capacitación o extensionismo rural.</t>
  </si>
  <si>
    <r>
      <t>Porcentaje de beneficiarios que aplican las capacidades promovidas por los servicios de asistencia técnica, capacitación o extensionismo rural con respecto al total de beneficiarios atendidos.</t>
    </r>
    <r>
      <rPr>
        <i/>
        <sz val="10"/>
        <color indexed="30"/>
        <rFont val="Soberana Sans"/>
        <family val="3"/>
      </rPr>
      <t xml:space="preserve">
</t>
    </r>
  </si>
  <si>
    <t>(No. de Beneficiarios que aplican las capacidades promovidas por los servicios de asistencia técnica, capacitación o extensionismo rural.) /(Total de beneficiarios de los servicios de asistencia técnica, capacitación o extensionismo rural.)*100</t>
  </si>
  <si>
    <t>D Apoyos para Acciones de fortalecimiento de las Organizaciones Sociales y de los Comités Sistemas Producto que operan con Plan de Trabajo y un Plan Rector, respectivamente</t>
  </si>
  <si>
    <r>
      <t>Porcentaje de organizaciones sociales fortalecidas con Plan de Trabajo</t>
    </r>
    <r>
      <rPr>
        <i/>
        <sz val="10"/>
        <color indexed="30"/>
        <rFont val="Soberana Sans"/>
        <family val="3"/>
      </rPr>
      <t xml:space="preserve">
</t>
    </r>
  </si>
  <si>
    <t>(Organizaciones sociales fortalecidas con Planes de Trabajo / Organizaciones sociales que ingresan solicitud )*100</t>
  </si>
  <si>
    <r>
      <t xml:space="preserve">Porcentaje de Comités Sistemas Producto nacionales operando con planes rectores </t>
    </r>
    <r>
      <rPr>
        <i/>
        <sz val="10"/>
        <color indexed="30"/>
        <rFont val="Soberana Sans"/>
        <family val="3"/>
      </rPr>
      <t xml:space="preserve">
Indicador Seleccionado</t>
    </r>
  </si>
  <si>
    <t xml:space="preserve">(Comités Sistema Producto nacionales operando con plan rector) / ( Comités Nacionales existentes)*100                                                                             </t>
  </si>
  <si>
    <r>
      <t xml:space="preserve">Porcentaje de Comités Sistemas Producto estatales operando con planes rectores </t>
    </r>
    <r>
      <rPr>
        <i/>
        <sz val="10"/>
        <color indexed="30"/>
        <rFont val="Soberana Sans"/>
        <family val="3"/>
      </rPr>
      <t xml:space="preserve">
</t>
    </r>
  </si>
  <si>
    <t xml:space="preserve">(Comités Sistema Producto estatales operando con plan rector) / ( Comités Estatales existentes)*100                                                                                         </t>
  </si>
  <si>
    <t xml:space="preserve">A 1 Verificación de recursos asignados a los proyectos de Investigación y Transferencia de Tecnología  </t>
  </si>
  <si>
    <r>
      <t xml:space="preserve">Porcentaje de proyectos con recursos asignados </t>
    </r>
    <r>
      <rPr>
        <i/>
        <sz val="10"/>
        <color indexed="30"/>
        <rFont val="Soberana Sans"/>
        <family val="3"/>
      </rPr>
      <t xml:space="preserve">
</t>
    </r>
  </si>
  <si>
    <t>(No. de proyectos con recursos asignados  / total de proyectos contemplados en el programa operativo anual) *100</t>
  </si>
  <si>
    <t>Gestión-Eficiencia-Anual</t>
  </si>
  <si>
    <t xml:space="preserve">B 2 Evaluación de la satisfacción de los beneficiarios con los servicios de asistencia técnica, capacitación  o extensionismo rural en zonas marginadas    </t>
  </si>
  <si>
    <r>
      <t>Porcentaje de beneficiarios de zonas marginadas que están satisfechos con la asistencia técnica y capacitación  o extensionismo rural recibida</t>
    </r>
    <r>
      <rPr>
        <i/>
        <sz val="10"/>
        <color indexed="30"/>
        <rFont val="Soberana Sans"/>
        <family val="3"/>
      </rPr>
      <t xml:space="preserve">
</t>
    </r>
  </si>
  <si>
    <t xml:space="preserve">(beneficiarios de zonas marginadas satisfechos con la asistencia técnica y capacitación o extensionismo rural  recibida )/(total de beneficiarios de zonas marginadas con los servicios de asistencia técnica y capacitación  o extensionismo rural)*100    </t>
  </si>
  <si>
    <t>Gestión-Calidad-Anual</t>
  </si>
  <si>
    <t>C 3 Evaluación de la satisfacción de los beneficiarios con los servicios de asistencia técnica, capacitación o extensionismo rural.</t>
  </si>
  <si>
    <r>
      <t>Porcentaje de beneficiarios que están satisfechos con la asistencia técnica, capacitación o extensionismo rural recibida con respecto al total de beneficiarios atendidos.</t>
    </r>
    <r>
      <rPr>
        <i/>
        <sz val="10"/>
        <color indexed="30"/>
        <rFont val="Soberana Sans"/>
        <family val="3"/>
      </rPr>
      <t xml:space="preserve">
</t>
    </r>
  </si>
  <si>
    <t>(beneficiarios satisfechos con la asistencia técnica, capacitación o extensionismo rural recibida )/(total de beneficiarios de los servicios de asistencia técnica, capacitación o extensionismo rural)*100</t>
  </si>
  <si>
    <t>C 4 Atención a los beneficiarios con servicios de asistencia técnica, capacitación o extensionismo rural</t>
  </si>
  <si>
    <r>
      <t>Porcentaje de beneficiarios atendidos con los servicios de asistencia técnica, capacitación o extensionismo rural con respecto al total de beneficiarios programados.</t>
    </r>
    <r>
      <rPr>
        <i/>
        <sz val="10"/>
        <color indexed="30"/>
        <rFont val="Soberana Sans"/>
        <family val="3"/>
      </rPr>
      <t xml:space="preserve">
</t>
    </r>
  </si>
  <si>
    <t>(Número de beneficiarios atendidos con servicios de asistencia técnica, capacitación o extensionismo rural / (total de beneficiarios de los servicios de asistencia técnica, capacitación o extensionismo rural programados)*100</t>
  </si>
  <si>
    <t>D 5 Otorgamiento de apoyos para la elaboración de planes (plan rector o plan anual) para cada comité sistema producto</t>
  </si>
  <si>
    <r>
      <t xml:space="preserve">Porcentaje de Comités Sistemas Producto que elabora o actualiza su plan rector  </t>
    </r>
    <r>
      <rPr>
        <i/>
        <sz val="10"/>
        <color indexed="30"/>
        <rFont val="Soberana Sans"/>
        <family val="3"/>
      </rPr>
      <t xml:space="preserve">
</t>
    </r>
  </si>
  <si>
    <t xml:space="preserve"> (Número de Comités Sistema Producto  apoyados / Número total de Comités Sistema Producto )*100                                                                                  </t>
  </si>
  <si>
    <t>D 6 Verificación en la ejecución del Plan de Trabajo de las organizaciones apoyadas.</t>
  </si>
  <si>
    <r>
      <t>Porcentaje de visitas y acciones de verificación y seguimiento realizadas a las Organizaciones Sociales Apoyadas</t>
    </r>
    <r>
      <rPr>
        <i/>
        <sz val="10"/>
        <color indexed="30"/>
        <rFont val="Soberana Sans"/>
        <family val="3"/>
      </rPr>
      <t xml:space="preserve">
</t>
    </r>
  </si>
  <si>
    <t xml:space="preserve">(Número de visitas y acciones de verificación realizadas / Número total de Organizaciones sociales apoyadas)*100  </t>
  </si>
  <si>
    <t>D 7 Otorgamientos de apoyos económicos a los comités sistema producto para la comunicación, equipamiento y gastos inherentes a la ejecución del Plan de Trabajo</t>
  </si>
  <si>
    <r>
      <t>Porcentaje de Comites Sistemas Producto que recibieron apoyos económicos para comunicación, equipamiento y gastos inherentes a la Ejecución del Plan de Trabajo</t>
    </r>
    <r>
      <rPr>
        <i/>
        <sz val="10"/>
        <color indexed="30"/>
        <rFont val="Soberana Sans"/>
        <family val="3"/>
      </rPr>
      <t xml:space="preserve">
</t>
    </r>
  </si>
  <si>
    <t xml:space="preserve">(Número de Comités Sistemas Producto que recibieron apoyos económicos para  comunicación, equipamiento y Gastos Inherentes a la Ejecución del Plan de Trabajo/ Número total de Comites Sistemas Producto apoyados)* 100                                     </t>
  </si>
  <si>
    <r>
      <t xml:space="preserve">Porcentaje de beneficiarios que aplican las capacidades promovidas por los servicios de asistencia técnica, capacitación o extensionismo rural con respecto al total de beneficiarios atendidos.
</t>
    </r>
    <r>
      <rPr>
        <sz val="10"/>
        <rFont val="Soberana Sans"/>
        <family val="2"/>
      </rPr>
      <t xml:space="preserve"> Causa : Los servicios de asistencia técnica se alinean cada vez más a los requerimientos de los productores beneficiarios, respondiendo a sus necesidades en aspectos productivos, gerenciales, organizativos, comerciales, entro otros; por ello en el porcentaje del indicador se refleja un incremento en la meta  en la aplicación de los conocimientos adquiridos por los propios beneficiarios Efecto: Se mejoran los procesos técnicos-productivos y se genera un bien público disponible para los productores Otros Motivos:</t>
    </r>
  </si>
  <si>
    <r>
      <t xml:space="preserve">Porcentaje de Proyectos de Investigación, Validación y Transferencia de Tecnología, alineados a la Agenda de Innovación respecto al total de proyectos apoyados
</t>
    </r>
    <r>
      <rPr>
        <sz val="10"/>
        <rFont val="Soberana Sans"/>
        <family val="2"/>
      </rPr>
      <t xml:space="preserve"> Causa : La meta fue superior ya que esto se le atribuye a la implementación de la estrategia de validación previa de los proyectos que integran el programa operativo anual. Efecto: Mejorar la estrategia para apoyar un mayor número de proyectos propuestos en el programa operativo anual. Otros Motivos:</t>
    </r>
  </si>
  <si>
    <r>
      <t xml:space="preserve">Porcentaje de beneficiarios de zonas marginadas que aplican las capacidades promovidas por los servicios de asistencia técnica, capacitación  o extensionismo rural.
</t>
    </r>
    <r>
      <rPr>
        <sz val="10"/>
        <rFont val="Soberana Sans"/>
        <family val="2"/>
      </rPr>
      <t xml:space="preserve"> Causa : El porcentaje reportado, se debe principalmente al soporte técnico otorgado por los facilitadores de las Agencias de Desarrollo Rural (ADR) en el proceso de puesta en marcha de los proyectos. Efecto: Los proyectos productivos implementados por los beneficiarios, tienen probabilidad de generar resultados positivos en términos de producción y disponibilidad de alimentos para la familia y la localidad. Otros Motivos:</t>
    </r>
  </si>
  <si>
    <r>
      <t xml:space="preserve">Porcentaje de beneficiarios que aplican las capacidades promovidas por los servicios de asistencia técnica, capacitación o extensionismo rural con respecto al total de beneficiarios atendidos.
</t>
    </r>
    <r>
      <rPr>
        <sz val="10"/>
        <rFont val="Soberana Sans"/>
        <family val="2"/>
      </rPr>
      <t xml:space="preserve"> Causa : Los servicios del componente proporcionados a través de Prestradores de Servicios Profesionales (PSP) se alinean cada vez más a los requerimientos de los productores beneficiarios, respondiendo a sus necesidades en aspectos productivos, gerenciales, organizativos, comerciales, entre otros, por ello en el porcentaje del indicador se refleja un incremento en la meta de 7 puntos porcentuales en la palicación de los conocimientos adquiridos por los propios beneficiarios. Efecto: Se contribuye al mejoramiento de la calidad y al incremento de la productividad y rentabilidad de las actividades y prácticas productivas de los beneficiarios mediante servicios de capacitación, asistencia técnica, desarrollo de capacidades, extensionismo rural y otros. Otros Motivos:</t>
    </r>
  </si>
  <si>
    <r>
      <t xml:space="preserve">Porcentaje de organizaciones sociales fortalecidas con Plan de Trabajo
</t>
    </r>
    <r>
      <rPr>
        <sz val="10"/>
        <rFont val="Soberana Sans"/>
        <family val="2"/>
      </rPr>
      <t xml:space="preserve"> Causa : Se redujo varias ocasiones y hasta casi el 47%, el presupuesto destinado para la atención de organizaciones sociales  Efecto: No fue posible la atención de un número mayor de solicitudes susceptibles de apoyo que permitiera cerrar al estimado anual planteado. Otros Motivos:</t>
    </r>
  </si>
  <si>
    <r>
      <t xml:space="preserve">Porcentaje de Comités Sistemas Producto nacionales operando con planes rectores 
</t>
    </r>
    <r>
      <rPr>
        <sz val="10"/>
        <rFont val="Soberana Sans"/>
        <family val="2"/>
      </rPr>
      <t xml:space="preserve"> Causa : Cinco Comités Nacionales del sector agrícola no cumplieron con los requisitos establecidos en las Reglas de Operación,  situación que no les permitio convenir recursos y por lo tanto no recibieron apoyos en el ejercicio 2013. Efecto: Los Comités Sistema Producto, al ser mecanismos de planeación, comunicación y concertación permanente, entre los actores económicos, a pesar de no recibir recursos, siguen participando en la instrumentación de políticas, planes y programas de desarrollo rural, a través de su instrumento de planeación, el Plan Rector, que contiene el conjunto de políticas, estrategias y acciones a realizar en la cadena para alcanzar mejores niveles de productividad y alcanzar mayor nivel de competitividad en todos los eslabones, y en la cadena en su conjunto. Otros Motivos:</t>
    </r>
  </si>
  <si>
    <r>
      <t xml:space="preserve">Porcentaje de Comités Sistemas Producto estatales operando con planes rectores 
</t>
    </r>
    <r>
      <rPr>
        <sz val="10"/>
        <rFont val="Soberana Sans"/>
        <family val="2"/>
      </rPr>
      <t xml:space="preserve"> Causa : La diferencia es mínima solo 4 estados no han cúmplido con plan rector. Efecto: No hay afectación, la meta se encuentra dentro del umbral establecido Otros Motivos:</t>
    </r>
  </si>
  <si>
    <r>
      <t xml:space="preserve">Porcentaje de proyectos con recursos asignados 
</t>
    </r>
    <r>
      <rPr>
        <sz val="10"/>
        <rFont val="Soberana Sans"/>
        <family val="2"/>
      </rPr>
      <t xml:space="preserve"> Causa : La meta se superó ya que se apoyaron las demandas y necesidades de generación de validación y/o transferencia de tecnología de mayor prioridad, para los sectores agrícola, pecuario, pesquero y acuícola; mismos que se ajustaron a la disponibilidad presupuestal. Efecto: Apoyar un mayor número de demandas y necesidades de generación de validación y/o transferencia de tecnología de mayor prioridad, para los sectores agrícola, pecuario, pesquero y acuícola. Otros Motivos:</t>
    </r>
  </si>
  <si>
    <r>
      <t xml:space="preserve">Porcentaje de beneficiarios de zonas marginadas que están satisfechos con la asistencia técnica y capacitación  o extensionismo rural recibida
</t>
    </r>
    <r>
      <rPr>
        <sz val="10"/>
        <rFont val="Soberana Sans"/>
        <family val="2"/>
      </rPr>
      <t xml:space="preserve"> Causa : El porcentaje reportado, se debe principalmente al soporte técnico otorgado por los Facilitadores de las ADR en el proceso de Puesta en Marcha de los proyectos. Efecto: Los proyectos productivos implementados por los beneficiarios, tienen probabilidad de generar resultados positivos en términos de producción y disponibilidad de alimentos para la familia y la localidad. Otros Motivos:</t>
    </r>
  </si>
  <si>
    <r>
      <t xml:space="preserve">Porcentaje de beneficiarios que están satisfechos con la asistencia técnica, capacitación o extensionismo rural recibida con respecto al total de beneficiarios atendidos.
</t>
    </r>
    <r>
      <rPr>
        <sz val="10"/>
        <rFont val="Soberana Sans"/>
        <family val="2"/>
      </rPr>
      <t xml:space="preserve"> Causa : Al contribuir al mejoramiento de la calidad y al incremento de la productividad y rentabilidad de las actividades y prácticas productivas de los beneficiarios, estos manifiestan estar cada vez más satisfechos con los servicios proporcionados mediante este Componente. Por ello el porcentaje del indicador refleja un incremento de 3 puntos porcentuales. Efecto: Alto nivel de satisfacción por parte de los productores beneficiarios, confianza en los servicios proporcionados y contribución del incremento de ingresos y productividad. Otros Motivos:</t>
    </r>
  </si>
  <si>
    <r>
      <t xml:space="preserve">Porcentaje de beneficiarios atendidos con los servicios de asistencia técnica, capacitación o extensionismo rural con respecto al total de beneficiarios programados.
</t>
    </r>
    <r>
      <rPr>
        <sz val="10"/>
        <rFont val="Soberana Sans"/>
        <family val="2"/>
      </rPr>
      <t xml:space="preserve"> Causa : Desface en el registro de datos en la captura del SURI de los recursos de ejecución directa del componente. Efecto: No se alcanza la meta programada a reportar al 100% por la carga incompleta de registros en el sistema. Otros Motivos:</t>
    </r>
  </si>
  <si>
    <r>
      <t xml:space="preserve">Porcentaje de Comités Sistemas Producto que elabora o actualiza su plan rector  
</t>
    </r>
    <r>
      <rPr>
        <sz val="10"/>
        <rFont val="Soberana Sans"/>
        <family val="2"/>
      </rPr>
      <t xml:space="preserve"> Causa : Cinco Comités Nacionales del sector agrícola no cumplieron con los requisitos establecidos en las Reglas de Operación,  situación que no les permitio convenir recursos y recibir apoyos en el ejercicio 2013 Efecto: Los Comités Sistema Producto, al ser mecanismos de planeación, comunicación y concertación permanente, entre los actores económicos, a pesar de no recibir recursos, siguen participando en la instrumentación de políticas, planes y programas de desarrollo rural, a través de su instrumento de planeación, el Plan Rector, que contiene el conjunto de políticas, estrategias y acciones a realizar en la cadena para alcanzar mejores niveles de productividad y alcanzar mayor nivel de competitividad en todos los eslabones, y en la cadena en su conjunto Otros Motivos:</t>
    </r>
  </si>
  <si>
    <r>
      <t xml:space="preserve">Porcentaje de visitas y acciones de verificación y seguimiento realizadas a las Organizaciones Sociales Apoyadas
</t>
    </r>
    <r>
      <rPr>
        <sz val="10"/>
        <rFont val="Soberana Sans"/>
        <family val="2"/>
      </rPr>
      <t xml:space="preserve"> Causa : Las acciones de supervisión se atendieron en las diferentes etapas de la operación del Programa que en suma puede considerarse la atención del 100% de las autorizaciones. Efecto: Mejor resultado operativo en materia de supervisión Otros Motivos:</t>
    </r>
  </si>
  <si>
    <r>
      <t xml:space="preserve">Porcentaje de Comites Sistemas Producto que recibieron apoyos económicos para comunicación, equipamiento y gastos inherentes a la Ejecución del Plan de Trabajo
</t>
    </r>
    <r>
      <rPr>
        <sz val="10"/>
        <rFont val="Soberana Sans"/>
        <family val="2"/>
      </rPr>
      <t xml:space="preserve"> Causa : Cinco Comités Nacionales del sector agrícola no cumplieron con los requisitos establecidos en las Reglas de Operación,  situación que no les permitio convenir recursos y recibir apoyos en el ejercicio 2013. Efecto: Los Comités Sistema Producto, al ser mecanismos de planeación, comunicación y concertación permanente, entre los actores económicos, a pesar de no recibir recursos, siguen participando en la instrumentación de políticas, planes y programas de desarrollo rural, a través de su instrumento de planeación, el Plan Rector, que contiene el conjunto de políticas, estrategias y acciones a realizar en la cadena para alcanzar mejores niveles de productividad y alcanzar mayor nivel de competitividad en todos los eslabones, y en la cadena en su conjunto. Otros Motivos:</t>
    </r>
  </si>
  <si>
    <t>S234</t>
  </si>
  <si>
    <t>Programa de Sustentabilidad de los Recursos Naturales</t>
  </si>
  <si>
    <t>310-Dirección General de Fomento a la Agricultura</t>
  </si>
  <si>
    <t>Contribuir a la sustentabilidad del sector rural y pesquero, mediante acciones para preservar el agua, el suelo y la biodiversidad utilizados en producción</t>
  </si>
  <si>
    <r>
      <t>Porcentaje de la superficie agropecuaria y pesquera apoyada que muestra evidencia de conservación y/o mejoramiento de los recursos naturales</t>
    </r>
    <r>
      <rPr>
        <i/>
        <sz val="10"/>
        <color indexed="30"/>
        <rFont val="Soberana Sans"/>
        <family val="3"/>
      </rPr>
      <t xml:space="preserve">
</t>
    </r>
  </si>
  <si>
    <t>(Superficie agropecuaria y pesquera apoyada que muestra evidencia de conservación y/o mejoramiento de los recursos naturales/Total de superficie apoyada)*100</t>
  </si>
  <si>
    <t>Recursos Naturales utilizados para la producción agropecuaria, pesquera y acuícola manejados sustentablemente.</t>
  </si>
  <si>
    <r>
      <t>Porcentaje de hectáreas dedicadas a la actividad agropecuaria con prácticas y obras aplicadas para el aprovechamiento sustentable</t>
    </r>
    <r>
      <rPr>
        <i/>
        <sz val="10"/>
        <color indexed="30"/>
        <rFont val="Soberana Sans"/>
        <family val="3"/>
      </rPr>
      <t xml:space="preserve">
Indicador Seleccionado</t>
    </r>
  </si>
  <si>
    <t>(Hectáreas con obras y prácticas para el aprovechamiento sustentable del suelo, agua y vegetación / hectáreas que presentan algún grado de erosión)*100</t>
  </si>
  <si>
    <r>
      <t xml:space="preserve">Porcentaje de producción pesquera y acuícola aprovechada con acciones de sustentabilidad. </t>
    </r>
    <r>
      <rPr>
        <i/>
        <sz val="10"/>
        <color indexed="30"/>
        <rFont val="Soberana Sans"/>
        <family val="3"/>
      </rPr>
      <t xml:space="preserve">
</t>
    </r>
  </si>
  <si>
    <t>(Producción pesquera y acuícola obtenida con acciones de sustentabilidad /total producción pesquera y acuícola del país) * 100</t>
  </si>
  <si>
    <t>A Apoyos entregados a productores para llevar a cabo acciones que disminuyan el riesgo de la pesca ilegal y respeto de vedas.</t>
  </si>
  <si>
    <r>
      <t>Porcentaje de acciones de inspección y vigilancia realizadas que disminuyen el riesgo de pesca ilegal</t>
    </r>
    <r>
      <rPr>
        <i/>
        <sz val="10"/>
        <color indexed="30"/>
        <rFont val="Soberana Sans"/>
        <family val="3"/>
      </rPr>
      <t xml:space="preserve">
</t>
    </r>
  </si>
  <si>
    <t xml:space="preserve">(Acciones implementadas por Entidad Federativa que disminuyan el riesgo de la pesca ilegal) / (Total de acciones programadas) *100 </t>
  </si>
  <si>
    <t>B Obras y prácticas para el aprovechamiento sustentable del suelo y agua, realizadas</t>
  </si>
  <si>
    <r>
      <t xml:space="preserve">Variación de hectáreas incorporadas al aprovechamiento sustentable del suelo y agua </t>
    </r>
    <r>
      <rPr>
        <i/>
        <sz val="10"/>
        <color indexed="30"/>
        <rFont val="Soberana Sans"/>
        <family val="3"/>
      </rPr>
      <t xml:space="preserve">
</t>
    </r>
  </si>
  <si>
    <t>((hectáreas incorporadas al aprovechamiento sustentable del suelo y agua en el año)/(hectáreas incorporadas al aprovechamiento sustentable de suelo y agua con COUSSA en 2012))*100</t>
  </si>
  <si>
    <r>
      <t>Porcentaje de Variación  en la capacidad de almacenamiento de agua</t>
    </r>
    <r>
      <rPr>
        <i/>
        <sz val="10"/>
        <color indexed="30"/>
        <rFont val="Soberana Sans"/>
        <family val="3"/>
      </rPr>
      <t xml:space="preserve">
</t>
    </r>
  </si>
  <si>
    <t xml:space="preserve">((metros cúbicos de capacidad instalada para almacenamiento  de agua en el año) / (metros cúbicos de capacidad  instalada para almacenamiento de agua construida con COUSSA en 2012))  </t>
  </si>
  <si>
    <t>C Apoyos entregados que permiten el ordenamiento pesquero y acuicola para el aprovechamiento sustentable del recurso</t>
  </si>
  <si>
    <r>
      <t>Porcentaje de embarcaciones retiradas para la conservacion y sustentabilidad del recurso pesquero.</t>
    </r>
    <r>
      <rPr>
        <i/>
        <sz val="10"/>
        <color indexed="30"/>
        <rFont val="Soberana Sans"/>
        <family val="3"/>
      </rPr>
      <t xml:space="preserve">
</t>
    </r>
  </si>
  <si>
    <t>(Número de embarcaciones retiradas con los apoyos del Componente/Número de embarcaciones programadas a retirar)*100</t>
  </si>
  <si>
    <r>
      <t xml:space="preserve"> Porcentaje de proyectos para el aprovechamiento de recursos pesqueros prioritarios y acuícolas realizados</t>
    </r>
    <r>
      <rPr>
        <i/>
        <sz val="10"/>
        <color indexed="30"/>
        <rFont val="Soberana Sans"/>
        <family val="3"/>
      </rPr>
      <t xml:space="preserve">
</t>
    </r>
  </si>
  <si>
    <t>(proyectos para el aprovechamiento de recursos pesqueros prioritarios y acuícolas  realizados / Total de proyectos para el aprovechamiento de recursos pesqueros y acuícolas programados  )*100</t>
  </si>
  <si>
    <t xml:space="preserve">D Superficie agrícola y ganadera reconvertida a cultivos sustentables, según potencial productivo y demanda del mercado </t>
  </si>
  <si>
    <r>
      <t xml:space="preserve">Porcentaje de hectáreas reconvertidas a cultivos sustentables locales </t>
    </r>
    <r>
      <rPr>
        <i/>
        <sz val="10"/>
        <color indexed="30"/>
        <rFont val="Soberana Sans"/>
        <family val="3"/>
      </rPr>
      <t xml:space="preserve">
</t>
    </r>
  </si>
  <si>
    <t>((Suma de Hectáreas reconvertidas a cultivos sustentables locales al año tn) / (Total de hectáreas proyectadas a reconvertir a cultivos sustentables locales al final del proyecto))*100</t>
  </si>
  <si>
    <t>E Apoyos directos entregados a los productores del PROGAN para incentivar el manejo sustentable de tierras de uso pecuario</t>
  </si>
  <si>
    <r>
      <t>Porcentaje de Unidades de Producción Pecuarias (UPP s) apoyadas para incentivar el aprovechamiento sustentable de las tierras con uso pecuario</t>
    </r>
    <r>
      <rPr>
        <i/>
        <sz val="10"/>
        <color indexed="30"/>
        <rFont val="Soberana Sans"/>
        <family val="3"/>
      </rPr>
      <t xml:space="preserve">
</t>
    </r>
  </si>
  <si>
    <t>(Unidades de Producción Pecuarias apoyadas por el PROGAN para incentivar el aprovechamiento sustentable de las tierras con uso pecuario / Universo de Unidades de Producción Pecuarias Vigentes en el PROGAN ) * 100</t>
  </si>
  <si>
    <t>F Emisiones de gases de efecto invernadero evitadas.</t>
  </si>
  <si>
    <r>
      <t xml:space="preserve">Porcentaje de emisiones de gases de efecto invernadero evitadas respecto a las emisiones de gases de efecto invernadero programadas a evitar. </t>
    </r>
    <r>
      <rPr>
        <i/>
        <sz val="10"/>
        <color indexed="30"/>
        <rFont val="Soberana Sans"/>
        <family val="3"/>
      </rPr>
      <t xml:space="preserve">
</t>
    </r>
  </si>
  <si>
    <t>(Emisiones de gases de efecto invernadero evitadas / Emisiones de gases de efecto invernadero programadas a evitar)*100.</t>
  </si>
  <si>
    <t>A 1 Verificaciones llevadas a cabo para el cumplimiento de la normatividad pesquera y el respeto de los periodos de veda</t>
  </si>
  <si>
    <r>
      <t>Porcentaje de verificaciones realizadas con respecto a las verificaciones programadas para el cumplimiento de la normatividad pesquera y el respeto de los periodos de veda</t>
    </r>
    <r>
      <rPr>
        <i/>
        <sz val="10"/>
        <color indexed="30"/>
        <rFont val="Soberana Sans"/>
        <family val="3"/>
      </rPr>
      <t xml:space="preserve">
</t>
    </r>
  </si>
  <si>
    <t xml:space="preserve">(Verificaciones realizadas para el cumplimiento de la normatividad pesquera y el respeto de los periodos de veda) / (Total de verificaciones programadas) *100 </t>
  </si>
  <si>
    <t>B 2 Seguimiento a la supervisión de obras y prácticas para el aprovechamiento sustentable de suelo y agua</t>
  </si>
  <si>
    <r>
      <t>Porcentaje de entidades supervisadas en el proceso operativo</t>
    </r>
    <r>
      <rPr>
        <i/>
        <sz val="10"/>
        <color indexed="30"/>
        <rFont val="Soberana Sans"/>
        <family val="3"/>
      </rPr>
      <t xml:space="preserve">
</t>
    </r>
  </si>
  <si>
    <t>((Número de entidades supervisadas en el proceso operativo realizadas) / (Número de entidades participantes en la operación del componente))*100</t>
  </si>
  <si>
    <t>C 3 Verificacion de embarcaciones pesqueras que cumplen con los criterios de elegibilidad para su retiro</t>
  </si>
  <si>
    <r>
      <t>Porcentaje de solicitudes de embarcaciones que cumplen con los criterios de elegibilidad</t>
    </r>
    <r>
      <rPr>
        <i/>
        <sz val="10"/>
        <color indexed="30"/>
        <rFont val="Soberana Sans"/>
        <family val="3"/>
      </rPr>
      <t xml:space="preserve">
</t>
    </r>
  </si>
  <si>
    <t>(número de solitudes de embarcaciones que cumplen con los criterios de elegibilidad/número de solicitudes recibidas)*100</t>
  </si>
  <si>
    <t>C 4 Verificación de proyectos que contribuyen al establecimiento de programas de ordenamiento pesquero y acuícola y/o planes de política publica.</t>
  </si>
  <si>
    <r>
      <t>Porcentaje de proyectos que fortalecen los programas de ordenamiento pesquero y acuícola.</t>
    </r>
    <r>
      <rPr>
        <i/>
        <sz val="10"/>
        <color indexed="30"/>
        <rFont val="Soberana Sans"/>
        <family val="3"/>
      </rPr>
      <t xml:space="preserve">
</t>
    </r>
  </si>
  <si>
    <t>(proyectos que contribuyen al establecimiento de programas de ordenamiento pesquero y acuícola y/o instrumentos de política pública / número de proyectos realizados para el ordenamiento pesquero y acuícola)*100</t>
  </si>
  <si>
    <t>D 5 Ejecución  de proyectos orientados a la Reconversión Productiva.</t>
  </si>
  <si>
    <r>
      <t xml:space="preserve">Porcentaje de proyectos ejecutados </t>
    </r>
    <r>
      <rPr>
        <i/>
        <sz val="10"/>
        <color indexed="30"/>
        <rFont val="Soberana Sans"/>
        <family val="3"/>
      </rPr>
      <t xml:space="preserve">
</t>
    </r>
  </si>
  <si>
    <t xml:space="preserve">((Proyectos ejecutados) / (total de proyectos dictaminados positivamente)) * 100 </t>
  </si>
  <si>
    <t>Gestión-Eficiencia-Semestral</t>
  </si>
  <si>
    <t>E 6 Dictaminación de solicitudes del PROGAN</t>
  </si>
  <si>
    <r>
      <t>Porcentaje de solicitudes dictaminadas en el ejercicio fiscal</t>
    </r>
    <r>
      <rPr>
        <i/>
        <sz val="10"/>
        <color indexed="30"/>
        <rFont val="Soberana Sans"/>
        <family val="3"/>
      </rPr>
      <t xml:space="preserve">
</t>
    </r>
  </si>
  <si>
    <t>(Solicitudes del PROGAN dictaminadas / Universo de Solicitudes vigentes del PROGAN)*100</t>
  </si>
  <si>
    <t>E 7 Otorgamiento de apoyos directos a los productores beneficiarios del PROGAN</t>
  </si>
  <si>
    <r>
      <t>Porcentaje de solicitudes pagadas a los beneficiarios del PROGAN</t>
    </r>
    <r>
      <rPr>
        <i/>
        <sz val="10"/>
        <color indexed="30"/>
        <rFont val="Soberana Sans"/>
        <family val="3"/>
      </rPr>
      <t xml:space="preserve">
</t>
    </r>
  </si>
  <si>
    <t>(Solicitudes del PROGAN pagadas/ Universo de Solicitudes Vigentes en el PROGAN ) *100</t>
  </si>
  <si>
    <t>F 8 Proyectos para la producción de insumos para bioenergéticos apoyados.</t>
  </si>
  <si>
    <r>
      <t>Porcentaje de proyectos apoyados para la producción de insumos para bioenergéticos respecto a los programados.</t>
    </r>
    <r>
      <rPr>
        <i/>
        <sz val="10"/>
        <color indexed="30"/>
        <rFont val="Soberana Sans"/>
        <family val="3"/>
      </rPr>
      <t xml:space="preserve">
</t>
    </r>
  </si>
  <si>
    <t>(Número de proyectos apoyados para la producción de insumos para bioenergéticos / Número de proyectos programados)*100</t>
  </si>
  <si>
    <t>F 9 Proyectos de generación y/o uso de energía renovable en actividades productivas del sector agropecuario, y eficiencia energética apoyados.</t>
  </si>
  <si>
    <r>
      <t>Porcentaje de proyectos apoyados de generación y/o uso de energía renovable, y eficiencia energética respecto a los programados.</t>
    </r>
    <r>
      <rPr>
        <i/>
        <sz val="10"/>
        <color indexed="30"/>
        <rFont val="Soberana Sans"/>
        <family val="3"/>
      </rPr>
      <t xml:space="preserve">
</t>
    </r>
  </si>
  <si>
    <t>(Número de proyectos apoyados de generación y/o uso de energía renovable, y eficiencia energética / Número de proyectos programados)*100.</t>
  </si>
  <si>
    <t>F 10 Proyectos de nuevos productos de la bioeconomía apoyados.</t>
  </si>
  <si>
    <r>
      <t>Porcentaje de proyectos apoyados de productos de la bioeconomía respecto a los programados.</t>
    </r>
    <r>
      <rPr>
        <i/>
        <sz val="10"/>
        <color indexed="30"/>
        <rFont val="Soberana Sans"/>
        <family val="3"/>
      </rPr>
      <t xml:space="preserve">
</t>
    </r>
  </si>
  <si>
    <t>(Número de proyectos apoyados de productos de la bioeconomía /  Número de proyectos programados)*100.</t>
  </si>
  <si>
    <r>
      <t xml:space="preserve">Porcentaje de hectáreas dedicadas a la actividad agropecuaria con prácticas y obras aplicadas para el aprovechamiento sustentable
</t>
    </r>
    <r>
      <rPr>
        <sz val="10"/>
        <rFont val="Soberana Sans"/>
        <family val="2"/>
      </rPr>
      <t xml:space="preserve"> Causa : La diferencia entre las metas obedece a que en 2013 se incluyó las superficie de nuevas solicitudes del componente de PROGAN Efecto: Impacta positivamente en el cumplimiento del Programa  Otros Motivos:</t>
    </r>
  </si>
  <si>
    <r>
      <t xml:space="preserve">Porcentaje de producción pesquera y acuícola aprovechada con acciones de sustentabilidad. 
</t>
    </r>
    <r>
      <rPr>
        <sz val="10"/>
        <rFont val="Soberana Sans"/>
        <family val="2"/>
      </rPr>
      <t xml:space="preserve"> Causa : Existe mayor participación del sector productivo en las acciones de ordenación pesquera que contribuyan a la sustentabilidad de los recursos pesqueros y acuícolas, lo que permitió una mayor cobertura para las especies prioritarias. Para el cálculo del indicador se toma como referencia los datos de producción disponibles a la fecha los cuales son preliminares.                               Efecto: Acciones que permitan la consrevación y un aprovechamiento sustentable de los recursos pesqueros y acuícolas. Otros Motivos:</t>
    </r>
  </si>
  <si>
    <r>
      <t xml:space="preserve">Porcentaje de acciones de inspección y vigilancia realizadas que disminuyen el riesgo de pesca ilegal
</t>
    </r>
    <r>
      <rPr>
        <sz val="10"/>
        <rFont val="Soberana Sans"/>
        <family val="2"/>
      </rPr>
      <t xml:space="preserve"> Causa : Se superó la meta debido a que para el presente ejercicio se incorporan nuevos proyectos preventivos para el aprovechamiento sustentable de los recursos pesqueros y acuícolas, asimismo la concertación de los proyectos se regionaliza, lo que ocasiona un mayor número de proyectos de acciones de inspección y vigilancia en coordinación con el sector social y productivo; ejecutandose 16 acciones más. Asimismo, existe mayor corresponsabilidad de los órdenes de gobierno y sector productivo. Efecto: Aumentó en las acciones de inspección y vigilancia para disminuir el riesgo de pesca ilegal, salvaguarda de los recursos pesqueros y acuícolas y mejor aprovechamiento sustentable de los recursos pesqueros y acuícolas.     Otros Motivos:</t>
    </r>
  </si>
  <si>
    <r>
      <t xml:space="preserve">Variación de hectáreas incorporadas al aprovechamiento sustentable del suelo y agua 
</t>
    </r>
    <r>
      <rPr>
        <sz val="10"/>
        <rFont val="Soberana Sans"/>
        <family val="2"/>
      </rPr>
      <t xml:space="preserve"> Causa : Las Instancias Ejecutoras se encuentra en proceso de integración del cierre del ejercicio fiscal para su envio a la Dirección General de Producción Rural Sustentable en Zonas Prioritarias. Efecto: Se actualizará la información con los datos definitivos del informe del cierre del ejercicio fiscal que presenten las Instancias Ejecutoras, por lo cual, se considera como un avance preliminar la información en este momento. Otros Motivos:</t>
    </r>
  </si>
  <si>
    <r>
      <t xml:space="preserve">Porcentaje de Variación  en la capacidad de almacenamiento de agua
</t>
    </r>
    <r>
      <rPr>
        <sz val="10"/>
        <rFont val="Soberana Sans"/>
        <family val="2"/>
      </rPr>
      <t xml:space="preserve"> Causa : Las Instancias Ejecutoras se encuentra en proceso de integración del cierre del ejercicio fiscal para su envio a la Dirección General de Producción Rural Sustentable en Zonas Prioritarias Efecto: Se actualizará la información con los datos definitivos del informe del cierre del ejercicio fiscal que presenten las Instancias Ejecutoras, por lo cual, se considera como un avance preliminar la información en este momento. Otros Motivos:</t>
    </r>
  </si>
  <si>
    <r>
      <t xml:space="preserve">Porcentaje de embarcaciones retiradas para la conservacion y sustentabilidad del recurso pesquero.
</t>
    </r>
    <r>
      <rPr>
        <sz val="10"/>
        <rFont val="Soberana Sans"/>
        <family val="2"/>
      </rPr>
      <t xml:space="preserve"> Causa : Poco interés para el retiro de la flota camaronera al contraponerse con el programas de Modernización de la Flota Pesquera. Efecto: Riesgo para la sustentabilidad del recurso pesquero camarón. Otros Motivos:</t>
    </r>
  </si>
  <si>
    <r>
      <t xml:space="preserve"> Porcentaje de proyectos para el aprovechamiento de recursos pesqueros prioritarios y acuícolas realizados
</t>
    </r>
    <r>
      <rPr>
        <sz val="10"/>
        <rFont val="Soberana Sans"/>
        <family val="2"/>
      </rPr>
      <t xml:space="preserve"> Causa : La variación respecto a la meta programada corresponde a proyectos de ordenamiento no ejecutados por falta de disponiblidad presupuestal para su ejecución. Efecto: Se reprogramaron proyectos de ordenamiento pesquero para el 2014 con base al presupuesto disponible para su realización.  Otros Motivos:</t>
    </r>
  </si>
  <si>
    <r>
      <t xml:space="preserve">Porcentaje de hectáreas reconvertidas a cultivos sustentables locales 
</t>
    </r>
    <r>
      <rPr>
        <sz val="10"/>
        <rFont val="Soberana Sans"/>
        <family val="2"/>
      </rPr>
      <t xml:space="preserve"> Causa : La meta se encuentra dentro del umbral verde-amarillo. Efecto: La meta se encuentra dentro del umbral verde-amarillo. Otros Motivos:</t>
    </r>
  </si>
  <si>
    <r>
      <t xml:space="preserve">Porcentaje de Unidades de Producción Pecuarias (UPP s) apoyadas para incentivar el aprovechamiento sustentable de las tierras con uso pecuario
</t>
    </r>
    <r>
      <rPr>
        <sz val="10"/>
        <rFont val="Soberana Sans"/>
        <family val="2"/>
      </rPr>
      <t xml:space="preserve"> Causa : La diferencia entre las metas obedece a:  La diferencia entre las metas planeada y lograda obedece a que se redujo el Núm. de UPP  que cumplieron con sus requisitos de elegibilidad.  El Universo UPP s vigentes del PROGAN ( planeado) corresponde a las solicitudes vigentes al cierre de 2012 que si cumplieron compromisos, independientemente de que se dictaminaran y pagaran.  El Universo UPP s vigentes del PROGAN  (alcanzado) corresponde a las solicitudes pagadas en 2013 por haber cumplido con sus compromisos. Efecto: Impacta positivamente en el cumplimiento del Propósito del Programa, debido a que la superficie apoyada para incentivar el aprovechamiento sustentable de los recursos naturales fue superior a la meta programada, no obstante que el número de UPP s fue menor a lo programado. Otros Motivos:</t>
    </r>
  </si>
  <si>
    <r>
      <t xml:space="preserve">Porcentaje de emisiones de gases de efecto invernadero evitadas respecto a las emisiones de gases de efecto invernadero programadas a evitar. 
</t>
    </r>
    <r>
      <rPr>
        <sz val="10"/>
        <rFont val="Soberana Sans"/>
        <family val="2"/>
      </rPr>
      <t xml:space="preserve"> Causa : Se incrementó la demanda de proyectos con mayor potencial de reducción de Gases de Efecto Invernadero (GEI), como son proyectos de producción de biofertilizantes y abonos orgánicos, así como proyectos de biodigestores. Efecto: Se contribuye a una producción agropecuaria sustentable mediante la reducción de emisiones de GEI a la atmosfera, mediante el apoyo a proyectos de energías renovables, eficiencia energética y proyectos de la bioeconomía, a la vez que se mejora los ingresos de los productores. Otros Motivos:</t>
    </r>
  </si>
  <si>
    <r>
      <t xml:space="preserve">Porcentaje de verificaciones realizadas con respecto a las verificaciones programadas para el cumplimiento de la normatividad pesquera y el respeto de los periodos de veda
</t>
    </r>
    <r>
      <rPr>
        <sz val="10"/>
        <rFont val="Soberana Sans"/>
        <family val="2"/>
      </rPr>
      <t xml:space="preserve"> Causa : Se superó la meta derivado de un mayor número de proyectos (66) de acciones de inspección y vigilancia ejecutados en 18 estados de la Republica Mexicana y a la efectividad de las acciones coordinadas con el Sector Productivo durante 2013. Se realizaron 11,304 verificaciones del cumplimiento de la normatividad pesquera y el respeto de los periodos de veda. Efecto: Disminución de la pesca furtiva y otras practicas ilegales.  Mayor salvaguarda de los recursos pesqueros y acuícolas.  Un mejor aprovechamiento sustentable de los recursos pesqueros y acuícolas.  Mayor corresponsabilidad de los órdenes de gobierno y sector productivo.  Se contribuye a elevar el estado de derecho de manera participativa. Otros Motivos:</t>
    </r>
  </si>
  <si>
    <r>
      <t xml:space="preserve">Porcentaje de entidades supervisadas en el proceso operativo
</t>
    </r>
    <r>
      <rPr>
        <sz val="10"/>
        <rFont val="Soberana Sans"/>
        <family val="2"/>
      </rPr>
      <t xml:space="preserve"> Causa : La meta se encuentra dentro dle umbral verde-amarillo. Efecto: La meta se encuentra dentro dle umbral verde-amarillo. Otros Motivos:</t>
    </r>
  </si>
  <si>
    <r>
      <t xml:space="preserve">Porcentaje de solicitudes de embarcaciones que cumplen con los criterios de elegibilidad
</t>
    </r>
    <r>
      <rPr>
        <sz val="10"/>
        <rFont val="Soberana Sans"/>
        <family val="2"/>
      </rPr>
      <t xml:space="preserve"> Causa : Por ser un programa de carácter voluntario, está sujeto a que exista voluntad por parte de productores para retirar las embarcaciones, así mismo, algunas solicitudes no cumplieron con los lineamientos específicos del programa. Efecto: Baja demanda de solicitudes de apoyo para el proyecto de retiro voluntario de embarcaciones al contra ponerse con otros programas que permitan la rentabilidad de la actividad pesquera. Otros Motivos:</t>
    </r>
  </si>
  <si>
    <r>
      <t xml:space="preserve">Porcentaje de proyectos que fortalecen los programas de ordenamiento pesquero y acuícola.
</t>
    </r>
    <r>
      <rPr>
        <sz val="10"/>
        <rFont val="Soberana Sans"/>
        <family val="2"/>
      </rPr>
      <t xml:space="preserve"> Causa : Derivado a la mayor participación del sector, se logró implementar acciones de ordenamiento que permiten fortalecer los esquemas de regulación y administración en materia pesquera y acuícola. Efecto: Contribuir a la sustentabilidad de los recursos a traves de la implementación de Intrumentos de Política Pública en materia pesquera pesqueras y acuícola.    Otros Motivos:</t>
    </r>
  </si>
  <si>
    <r>
      <t xml:space="preserve">Porcentaje de proyectos ejecutados 
</t>
    </r>
    <r>
      <rPr>
        <sz val="10"/>
        <rFont val="Soberana Sans"/>
        <family val="2"/>
      </rPr>
      <t xml:space="preserve"> Causa : La meta se encuentra dentro del umbral verde-amarillo. Efecto: La meta se encuentra dentro del umbral verde-amarillo. Otros Motivos:</t>
    </r>
  </si>
  <si>
    <r>
      <t xml:space="preserve">Porcentaje de solicitudes dictaminadas en el ejercicio fiscal
</t>
    </r>
    <r>
      <rPr>
        <sz val="10"/>
        <rFont val="Soberana Sans"/>
        <family val="2"/>
      </rPr>
      <t xml:space="preserve"> Causa : La diferencia entre las metas obedece a:  El número de solicitudes dictaminadas se redujo debido a que no cumplían con los requisitos para ser dictaminadas.  Universo de Solicitudes Vigentes del PROGAN  alcanzado aumento con respecto a lo planeado, debido a que en 2013 se incluyeron las nuevas solicitudes. Los valores planeados corresponden al cierre del 2012  que no incluía a las nuevas solicitudes.  Efecto: Impacta positivamente en el cumplimiento del Propósito del Programa, debido a que la superficie apoyada para incentivar el aprovechamiento sustentable de los recursos naturales fue superior a la meta programada, no obstante que el número de solicitudes dictaminadas fue menor a lo programado. Otros Motivos:</t>
    </r>
  </si>
  <si>
    <r>
      <t xml:space="preserve">Porcentaje de solicitudes pagadas a los beneficiarios del PROGAN
</t>
    </r>
    <r>
      <rPr>
        <sz val="10"/>
        <rFont val="Soberana Sans"/>
        <family val="2"/>
      </rPr>
      <t xml:space="preserve"> Causa : La diferencia entre las metas obedece a:  El número de solicitudes dictaminadas se redujo debido a que no cumplían con los requisitos para ser pagadas.  Universo de Solicitudes Vigentes del PROGAN  alcanzado aumento con respecto a lo planeado, debido a que en 2013 se incluyeron las nuevas solicitudes. Los valores planeados corresponden al cierre del 2012  que no incluía a las nuevas solicitudes.  Efecto: Impacta positivamente en el cumplimiento del Propósito del Programa, debido a que la superficie apoyada para incentivar el aprovechamiento sustentable de los recursos naturales fue superior a la meta programada, no obstante que el número de solicitudes pagadas fue menor a lo programado. Otros Motivos:</t>
    </r>
  </si>
  <si>
    <r>
      <t xml:space="preserve">Porcentaje de proyectos apoyados para la producción de insumos para bioenergéticos respecto a los programados.
</t>
    </r>
    <r>
      <rPr>
        <sz val="10"/>
        <rFont val="Soberana Sans"/>
        <family val="2"/>
      </rPr>
      <t xml:space="preserve"> Causa : La demanda de este tipo de proyectos por parte de los productores, está sujeto a la existencia de un mercado nacional definido para la comercialización de insumos para bioenergéticos que, en su caso, presente precios competitivos, elementos con los que a la fecha aún no se cuenta, por lo que existe poca o nula demanda de proyectos de esta naturaleza. Efecto: El  recurso programado para apoyar este tipo de proyectos se destina para apoyar otros conceptos de apoyo del mismo Componente que presentaron mayor demanda. Otros Motivos:</t>
    </r>
  </si>
  <si>
    <r>
      <t xml:space="preserve">Porcentaje de proyectos apoyados de generación y/o uso de energía renovable, y eficiencia energética respecto a los programados.
</t>
    </r>
    <r>
      <rPr>
        <sz val="10"/>
        <rFont val="Soberana Sans"/>
        <family val="2"/>
      </rPr>
      <t xml:space="preserve"> Causa : La demanda para ese tipo de tecnología se incrementó por parte de los productores por el valor agregado que representan en la reducción de costos de producción. Efecto: Se incrementó la demanda de este tipo de proyectos por los beneficios que genera para los productores, por lo que que se ocuparon recursos que originalmente estaban previstos para otros tipos de apoyos y que no tuvieron tanta demanda. Otros Motivos:</t>
    </r>
  </si>
  <si>
    <r>
      <t xml:space="preserve">Porcentaje de proyectos apoyados de productos de la bioeconomía respecto a los programados.
</t>
    </r>
    <r>
      <rPr>
        <sz val="10"/>
        <rFont val="Soberana Sans"/>
        <family val="2"/>
      </rPr>
      <t xml:space="preserve"> Causa : La demanda se incrementó debido al nuevo nicho de mercado y los beneficios económicos y ambientales que representa este tipo de proyectos innovadores. Efecto: Se incrementó la demanda de este tipo de proyectos innovadores por los beneficios económicos y ambientales que genera, por lo que que se ocuparon recursos que originalmente estaban previstos para otros tipos de apoyos y que no tuvieron tanta demanda. Otros Motivos:</t>
    </r>
  </si>
  <si>
    <t>U002</t>
  </si>
  <si>
    <t>Instrumentación de acciones para mejorar las Sanidades a través de Inspecciones Fitozoosanitarias</t>
  </si>
  <si>
    <t>B00-Servicio Nacional de Sanidad, Inocuidad y Calidad Agroalimentaria</t>
  </si>
  <si>
    <t>Contribuir a mejorar y/o mantener la condición de sanidad agroalimentaria en el territorio nacional</t>
  </si>
  <si>
    <r>
      <t xml:space="preserve">Indice de superficie nacional libre o de baja prevalencia de plagas y enfermedades (mosca de la fruta, fiebre porcina clásica, tuberculosis bovina enfermedad de Newcastle) respecto a la superficie nacional </t>
    </r>
    <r>
      <rPr>
        <i/>
        <sz val="10"/>
        <color indexed="30"/>
        <rFont val="Soberana Sans"/>
        <family val="3"/>
      </rPr>
      <t xml:space="preserve">
Indicador Seleccionado</t>
    </r>
  </si>
  <si>
    <t xml:space="preserve">((Superficie liberada de mosca de la fruta / superficie nacional))*.25) +((Superficie liberada de fiebre porcina clásica / superficie nacional))*.25) + ((superficie de baja prevalencia de tuberculosis bovina / superficie nacional))*.25 )+ ((superficie liberada de Newcastle / superficie nacional))*.25)) *100  </t>
  </si>
  <si>
    <t>Indice</t>
  </si>
  <si>
    <r>
      <t>Porcentaje de Estados, regiones o municipios en erradicación de Tuberculosis Bovina  en el año</t>
    </r>
    <r>
      <rPr>
        <i/>
        <sz val="10"/>
        <color indexed="30"/>
        <rFont val="Soberana Sans"/>
        <family val="3"/>
      </rPr>
      <t xml:space="preserve">
</t>
    </r>
  </si>
  <si>
    <t>Cultivos genéticamente modificados de vegetales sembrados</t>
  </si>
  <si>
    <r>
      <t>Índice de avance anual en la siembra de vegetales genéticamente modificados</t>
    </r>
    <r>
      <rPr>
        <i/>
        <sz val="10"/>
        <color indexed="30"/>
        <rFont val="Soberana Sans"/>
        <family val="3"/>
      </rPr>
      <t xml:space="preserve">
</t>
    </r>
  </si>
  <si>
    <t>(Superficie sembrada de cultivos vegetales genéticamente modificados en el año t / Superficie estimada que será sembrada con cultivos vegetales genéticamente modificados en el año t) *100</t>
  </si>
  <si>
    <t>A Sistema de prevención, vigilancia y control de plagas y enfermedades ejecutado</t>
  </si>
  <si>
    <r>
      <t>Porcentaje de análisis de enfermedades exóticas emergentes y reemergentes realizados</t>
    </r>
    <r>
      <rPr>
        <i/>
        <sz val="10"/>
        <color indexed="30"/>
        <rFont val="Soberana Sans"/>
        <family val="3"/>
      </rPr>
      <t xml:space="preserve">
</t>
    </r>
  </si>
  <si>
    <t>(Número de análisis  de enfermedades exóticas, emergentes y reemergentes realizados en el año t / Número de análisis de enfermedades exóticas, emergentes y reemergentes solicitados en el año t) * 100</t>
  </si>
  <si>
    <r>
      <t>Porcentaje de brotes y detecciones de mosca del Mediterráneo atendidos</t>
    </r>
    <r>
      <rPr>
        <i/>
        <sz val="10"/>
        <color indexed="30"/>
        <rFont val="Soberana Sans"/>
        <family val="3"/>
      </rPr>
      <t xml:space="preserve">
</t>
    </r>
  </si>
  <si>
    <t>(Número de brotes y detecciones de mosca del Mediterráneo  atendidos en el año t / Número de brotes y detecciones de mosca del Mediterráneo presentados en el año t) * 100</t>
  </si>
  <si>
    <t>B Control de la movilización de mercancías agropecuarias, acuícolas y pesqueras en territorio nacional</t>
  </si>
  <si>
    <r>
      <t xml:space="preserve">Porcentaje de embarques con mercancía agropecuaria que cumplen con la normatividad sanitaria. </t>
    </r>
    <r>
      <rPr>
        <i/>
        <sz val="10"/>
        <color indexed="30"/>
        <rFont val="Soberana Sans"/>
        <family val="3"/>
      </rPr>
      <t xml:space="preserve">
</t>
    </r>
  </si>
  <si>
    <t>(Número de embarques con mercancía agropecuaria que cumplen con la normatividad sanitaria en el año t / Número total de embarques con mercancía agropecuaria inspeccionados en el año t) * 100</t>
  </si>
  <si>
    <t>C Medidas de prevención de posibles riesgos que las actividades con organismos genéticamente modificados pudieran ocasionar a la sanidad vegetal, animal y acuícola del país atendidas</t>
  </si>
  <si>
    <r>
      <t>Porcentaje de resoluciones de solicitudes de trámites de liberación de Organismos Genéticamente Modificados emitidas</t>
    </r>
    <r>
      <rPr>
        <i/>
        <sz val="10"/>
        <color indexed="30"/>
        <rFont val="Soberana Sans"/>
        <family val="3"/>
      </rPr>
      <t xml:space="preserve">
</t>
    </r>
  </si>
  <si>
    <t>[Número de Resoluciones de solicitudes de trámites de liberación de Organismos Genéticamente Modificados emitidas en el año t / ((Número de solicitudes de trámites de liberación de Organismos Genéticamente Modificados  recibidas en e año t - Número de Resoluciones de solicitudes de trámites de liberación de Organismos Genéticamente Modificados  que por los tiempos establecidos en la LBOM no serán resueltas en el año t) + Número de solicitudes recibidas en el año t-1 con resolución pendiente)] * 100</t>
  </si>
  <si>
    <t>A 1 Sistema de Detección de Mosca del Mediterráneo</t>
  </si>
  <si>
    <r>
      <t>Porcentaje de trampas de mosca del Mediterráneo revisadas</t>
    </r>
    <r>
      <rPr>
        <i/>
        <sz val="10"/>
        <color indexed="30"/>
        <rFont val="Soberana Sans"/>
        <family val="3"/>
      </rPr>
      <t xml:space="preserve">
</t>
    </r>
  </si>
  <si>
    <t>(Número de trampas de mosca del Mediterráneo revisadas en el año t / Número de trampas de mosca del Mediterráneo programadas a revisar en el año t) * 100</t>
  </si>
  <si>
    <t>A 2 Producción de pupas estériles de mosca de la fruta</t>
  </si>
  <si>
    <r>
      <t>Porcentaje de pupas estériles producidas de mosca de la fruta</t>
    </r>
    <r>
      <rPr>
        <i/>
        <sz val="10"/>
        <color indexed="30"/>
        <rFont val="Soberana Sans"/>
        <family val="3"/>
      </rPr>
      <t xml:space="preserve">
</t>
    </r>
  </si>
  <si>
    <t>(Número de pupas estériles de mosca de la fruta producidas en el año t/ Número de pupas estériles de mosca de la fruta programadas a producir) * 100</t>
  </si>
  <si>
    <t>A 3 Realización de pruebas de laboratorio para el diagóstico de enfermedades exóticas, emergentes o re-emergentes</t>
  </si>
  <si>
    <r>
      <t>Porcentaje de muestras analizadas derivadas de la vigilancia epidemiológica</t>
    </r>
    <r>
      <rPr>
        <i/>
        <sz val="10"/>
        <color indexed="30"/>
        <rFont val="Soberana Sans"/>
        <family val="3"/>
      </rPr>
      <t xml:space="preserve">
</t>
    </r>
  </si>
  <si>
    <t>(Número de muestras analizadas en el año t / Número de muestras solicitadas en el año t)* 100</t>
  </si>
  <si>
    <t>B 4 Inspección a los embarques de productos agropecuarios</t>
  </si>
  <si>
    <r>
      <t xml:space="preserve">Porcentaje de embarques agropecuarios inspeccionados </t>
    </r>
    <r>
      <rPr>
        <i/>
        <sz val="10"/>
        <color indexed="30"/>
        <rFont val="Soberana Sans"/>
        <family val="3"/>
      </rPr>
      <t xml:space="preserve">
</t>
    </r>
  </si>
  <si>
    <t xml:space="preserve">(Número de embarques inspeccionados en el año t/ Número total de embarques programados a inspeccionar en el año) * 100 </t>
  </si>
  <si>
    <t>C 5 Seguimiento a las actividades de inspección y vigilancia de Organismos Genéticamente Modificados</t>
  </si>
  <si>
    <r>
      <t>Porcentaje de inspecciones a los permisos de liberación y avisos de utilización confinada de Organismos Genéticamente Modificados realizadas</t>
    </r>
    <r>
      <rPr>
        <i/>
        <sz val="10"/>
        <color indexed="30"/>
        <rFont val="Soberana Sans"/>
        <family val="3"/>
      </rPr>
      <t xml:space="preserve">
</t>
    </r>
  </si>
  <si>
    <t>(Número de inspecciones realizadas a los permisos de liberación y avisos de utilización confinada de Organismos Genéticamente Modificados en el año t / Número de inspecciones a los permisos de liberación y avisos de utilización confinada de Organismos Genéticamente Modificados programadas en el año t) *100</t>
  </si>
  <si>
    <r>
      <t>Porcentaje de muestras de tejido vegetal colectadas para su análisis</t>
    </r>
    <r>
      <rPr>
        <i/>
        <sz val="10"/>
        <color indexed="30"/>
        <rFont val="Soberana Sans"/>
        <family val="3"/>
      </rPr>
      <t xml:space="preserve">
</t>
    </r>
  </si>
  <si>
    <t>(Número de muestras de tejido vegetal colectadas en el territorio nacional en el año t / Número de muestras de tejido vegetal programadas a colectar en el plan anual de monitoreo en el año t) *100</t>
  </si>
  <si>
    <r>
      <t xml:space="preserve">Porcentaje de resoluciones de solicitudes de trámites de liberación de Organismos Genéticamente Modificados emitidas
</t>
    </r>
    <r>
      <rPr>
        <sz val="10"/>
        <rFont val="Soberana Sans"/>
        <family val="2"/>
      </rPr>
      <t xml:space="preserve"> Causa : "La meta esta por debajo de lo programado debido a que el valor del denominador es un estimado debido a que este depende de las solicitudes recibidas. Sin embargo, es importante mencionar al periodo se ha recibido 99 solicitudes de las cuales se ha emitido resolución para 37, lo que representa un 37%.   El decremento en la meta programada obedece principalmente a: a) la falta de Dictámenes de Bioseguridad Vinculantes que emite la SEMARNAT previo a la expedición de una resolución; b)la  medida precautoria decretada que ordenó a las autoridades competentes abstenerse de llevar a cabo actividades y efectuar procedimientos tendientes a la expedición de permisos de liberación al ambiente de maíz GM, el cual representa más del 65% de las solicitudes que ingresan"    Efecto: Sin efectos cuantificables    Otros Motivos:</t>
    </r>
  </si>
  <si>
    <r>
      <t xml:space="preserve">Porcentaje de trampas de mosca del Mediterráneo revisadas
</t>
    </r>
    <r>
      <rPr>
        <sz val="10"/>
        <rFont val="Soberana Sans"/>
        <family val="2"/>
      </rPr>
      <t xml:space="preserve"> Causa : La meta de revisión de trampeo se superó en un 4% con respecto a lo programado; debido a que para la detección oportuna de la plaga, y ante los brotes y detecciones que se presentaron, el sistema de detección por trampeo continuo sensibilizado, mediante el trampeo intensivo instalado en lugares de alto riesgo (fronterizos), por el historial de recurrencia anual de la plaga.     Efecto:  El efecto es positivo ya que se continua con un sistema de trampeo eficiente y confiable, para la detección temprana de la plaga.    Otros Motivos:</t>
    </r>
  </si>
  <si>
    <r>
      <t xml:space="preserve">Porcentaje de pupas estériles producidas de mosca de la fruta
</t>
    </r>
    <r>
      <rPr>
        <sz val="10"/>
        <rFont val="Soberana Sans"/>
        <family val="2"/>
      </rPr>
      <t xml:space="preserve"> Causa : Durante el 2013 la pupa producida estuvo sujeta a los rendimientos larvarios y a la transformación larva-pupa, favoreciendo para que e obtuviera una mayor producción. Se debe considerar que las etapas biológicas del desarrollo del insecto están sujetas a las condiciones bióticas y abióticas que influyen positiva o negativamente en la producción masiva del insecto.    Efecto: El impacto es positivo, debido a que la producción obtenida excedente permite fortalecer las medidas al combate de plagas.    Otros Motivos:</t>
    </r>
  </si>
  <si>
    <r>
      <t xml:space="preserve">Porcentaje de muestras analizadas derivadas de la vigilancia epidemiológica
</t>
    </r>
    <r>
      <rPr>
        <sz val="10"/>
        <rFont val="Soberana Sans"/>
        <family val="2"/>
      </rPr>
      <t xml:space="preserve"> Causa : Debido a la reincidencia de Influenza Aviar AH7N3 en el estado de Jalisco y la afectación de las granjas avícolas en los estados de Aguascalientes, Guanajuato y Puebla  por este virus, el número de solicitudes para el análisis demuestras se incremento, dando por resultado que la meta se encuentre muy por encima de lo programado, cabe mencionar que la programación se realiza con base en los históricos. Sin embargo se analizó el 100% de la muestras solicitadas.    Efecto: El efecto es positivos ya que existe reforzamiento de  la vigilancia epidemiológica para la Influenza Aviar  y se recortaron los tiempos de monitoreo para evidenciar la presencia o ausencia de ella a fin de evitar su presencia en otras granjas.    Otros Motivos:</t>
    </r>
  </si>
  <si>
    <r>
      <t xml:space="preserve">Porcentaje de embarques agropecuarios inspeccionados 
</t>
    </r>
    <r>
      <rPr>
        <sz val="10"/>
        <rFont val="Soberana Sans"/>
        <family val="2"/>
      </rPr>
      <t xml:space="preserve"> Causa : La meta esta por arriba de lo programado debido a que la programación se realiza con base en histórico, ya que  el flujo de embarques agropecuarios depende de los usuarios del servicio que para este ejercicio fue mayor de lo programado. Esto debido a  que la ubicación estratégica de los Puntos de Verificación e Inspección Federal  permitió realizar un número mayor de inspecciones.    Efecto: El efecto es positivo ya que  al realizar un mayor número de inspecciones el riego de que una plaga o enfermedad se disperse por el país disminuye.    Otros Motivos:</t>
    </r>
  </si>
  <si>
    <r>
      <t xml:space="preserve">Porcentaje de inspecciones a los permisos de liberación y avisos de utilización confinada de Organismos Genéticamente Modificados realizadas
</t>
    </r>
    <r>
      <rPr>
        <sz val="10"/>
        <rFont val="Soberana Sans"/>
        <family val="2"/>
      </rPr>
      <t xml:space="preserve"> Causa : La meta esta por debajo de lo programado debido a disminución en la disponibilidad de cultivos en pie para el monitoreo, a la falta de personal y a la asignación de recursos de manera extemporánea     Efecto: El incumplimiento en las meta programada e inadecuado seguimiento por parte de la autoridad a las liberaciones permitidas, así como las actividades confinadas de OGM, incrementa los posibles riesgos a las sanidad animal, vegetal y acuícola e incumplimientos a la normatividad aplicable.     Otros Motivos:</t>
    </r>
  </si>
  <si>
    <r>
      <t xml:space="preserve">Porcentaje de muestras de tejido vegetal colectadas para su análisis
</t>
    </r>
    <r>
      <rPr>
        <sz val="10"/>
        <rFont val="Soberana Sans"/>
        <family val="2"/>
      </rPr>
      <t xml:space="preserve"> Causa : La meta esta por debajo de lo programado debido a disminución en la disponibilidad de cultivos en pie para el monitoreo, a la falta de personal y a la asignación de recursos de manera extemporánea    Efecto: El inadecuado seguimiento por parte de la autoridad a las liberaciones permitidas, así como las actividades confinadas de OGM, incrementa los posibles riesgos a las sanidad animal, vegetal y acuícola e incumplimientos a la normatividad aplicable.     Otros Motivos:</t>
    </r>
  </si>
  <si>
    <t>U016</t>
  </si>
  <si>
    <t>Tecnificación del Riego</t>
  </si>
  <si>
    <t>311-Dirección General de Productividad y Desarrollo Tecnológico</t>
  </si>
  <si>
    <t>Contribuir al uso racional del agua en la agricultura, mediante el establecimiento de sistemas de riego tecnificados que ahorren agua a nivel parcelario</t>
  </si>
  <si>
    <r>
      <t>Tasa de ahorro del volumen de agua usado en predios beneficiados</t>
    </r>
    <r>
      <rPr>
        <i/>
        <sz val="10"/>
        <color indexed="30"/>
        <rFont val="Soberana Sans"/>
        <family val="3"/>
      </rPr>
      <t xml:space="preserve">
</t>
    </r>
  </si>
  <si>
    <t>(1- (Volumen de agua usado en superficie x con sistemas de riego tecnificado/ Volumen de agua usado en superficie x sin sistemas de riego tecnificado))*100</t>
  </si>
  <si>
    <t>Estratégico-Eficacia-Bianual</t>
  </si>
  <si>
    <t>Las Unidades agrícolas cuentan con sistemas de riego tecnificado a nivel parcelario que mejoran la eficiencia del agua para su uso agrícola</t>
  </si>
  <si>
    <r>
      <t>Tasa de variación  de la eficiencia del agua en unidades agrícolas con sistemas de riego técnificado</t>
    </r>
    <r>
      <rPr>
        <i/>
        <sz val="10"/>
        <color indexed="30"/>
        <rFont val="Soberana Sans"/>
        <family val="3"/>
      </rPr>
      <t xml:space="preserve">
</t>
    </r>
  </si>
  <si>
    <t>((Eficiencia del agua en la superficie con sistema de riego tecnificado/Eficiencia del agua en la superficie sin sistema de riego tecnificado)-1)*100</t>
  </si>
  <si>
    <t>A Superficie agrícola tecnificada con sistemas de riego</t>
  </si>
  <si>
    <r>
      <t xml:space="preserve">Porcentaje de superficie tecnificada con respecto a la superficie con infraestructura hidroagrícola </t>
    </r>
    <r>
      <rPr>
        <i/>
        <sz val="10"/>
        <color indexed="30"/>
        <rFont val="Soberana Sans"/>
        <family val="3"/>
      </rPr>
      <t xml:space="preserve">
Indicador Seleccionado</t>
    </r>
  </si>
  <si>
    <t>(total de superficie tecnificada por el proyecto hasta el año t0+i (ha) / superficie con infraestructura hidroagrícola en el año to)*100</t>
  </si>
  <si>
    <t>A 1 Recursos ejercidos en proyectos de sistemas de riego tecnificado con respecto a los recursos asignados al Proyecto</t>
  </si>
  <si>
    <r>
      <t>Recursos ejercidos en proyectos de sistemas de riego tecnificado con respecto a los recursos asignados al Proyecto</t>
    </r>
    <r>
      <rPr>
        <i/>
        <sz val="10"/>
        <color indexed="30"/>
        <rFont val="Soberana Sans"/>
        <family val="3"/>
      </rPr>
      <t xml:space="preserve">
</t>
    </r>
  </si>
  <si>
    <t>(Total de recursos pagados por el programa en el año t / Total de recursos asignados al programa en el año t)* 100</t>
  </si>
  <si>
    <t>A 2 Otorgamiento oportuno de apoyos para proyectos de tecnificación de riego</t>
  </si>
  <si>
    <r>
      <t>Porcentaje de proyectos apoyados oportunamente</t>
    </r>
    <r>
      <rPr>
        <i/>
        <sz val="10"/>
        <color indexed="30"/>
        <rFont val="Soberana Sans"/>
        <family val="3"/>
      </rPr>
      <t xml:space="preserve">
</t>
    </r>
  </si>
  <si>
    <t>(Número de proyectos que recibieron el apoyo en un plazo máximo de 120 días/ Número de proyectos que recibieron apoyos para tecnificación de riego)*100</t>
  </si>
  <si>
    <r>
      <t xml:space="preserve">Indice de superficie nacional libre o de baja prevalencia de plagas y enfermedades (mosca de la fruta, fiebre porcina clásica, tuberculosis bovina enfermedad de Newcastle) respecto a la superficie nacional 
</t>
    </r>
    <r>
      <rPr>
        <sz val="10"/>
        <rFont val="Soberana Sans"/>
        <family val="2"/>
      </rPr>
      <t xml:space="preserve"> Causa : La meta presenta una mínima variación con respecto a lo programado debido a que 3 municipios del Estado de Aguascalientes que no fueron contemplados en la programación cumplieron con los requisitos necesarios para ser declarados libres de mosca de la fruta  Efecto: El efectos es positivo ya que se cuenta con mayor superficie declarada como zona libre de mosca de la fruta.</t>
    </r>
  </si>
  <si>
    <r>
      <t xml:space="preserve">Porcentaje de superficie libre de moscas de la fruta conservada
</t>
    </r>
    <r>
      <rPr>
        <sz val="10"/>
        <rFont val="Soberana Sans"/>
        <family val="2"/>
      </rPr>
      <t xml:space="preserve"> Causa : Se ha conservado el estatus libre de todas las zonas declaradas como libres de moscas de la fruta.    Efecto: El efecto es positivo ya que el estatus libre facilita la comercialización de los productos hortofrutícolas de las zonas libres.</t>
    </r>
  </si>
  <si>
    <r>
      <t xml:space="preserve">Porcentaje de Estados conservados como libres de Fiebre Porcina Clásica y enfermedad de Newcastle presentación velogénica
</t>
    </r>
    <r>
      <rPr>
        <sz val="10"/>
        <rFont val="Soberana Sans"/>
        <family val="2"/>
      </rPr>
      <t xml:space="preserve"> Causa : La meta se encuentra dentro del umbral verde-amarillo.</t>
    </r>
  </si>
  <si>
    <r>
      <t xml:space="preserve">Porcentaje de Estados, regiones o municipios en erradicación de Tuberculosis Bovina  en el año
</t>
    </r>
    <r>
      <rPr>
        <sz val="10"/>
        <rFont val="Soberana Sans"/>
        <family val="2"/>
      </rPr>
      <t xml:space="preserve"> Causa : La meta se encuentra dentro del umbral verde-amarillo.</t>
    </r>
  </si>
  <si>
    <r>
      <t xml:space="preserve">Índice de avance anual en la siembra de vegetales genéticamente modificados
</t>
    </r>
    <r>
      <rPr>
        <sz val="10"/>
        <rFont val="Soberana Sans"/>
        <family val="2"/>
      </rPr>
      <t xml:space="preserve"> Causa : La meta esta por debajo con respecto a la superficie programada con respecto al histórico del año anterior, sin embargo, para el cierre del ejercicio se conto con una superficie de 192,120 ha sembradas de vegetales genéticamente modificados, lo que representa el 85.6% con respecto a la superficie real sembrada en 2012 que fue de 224,317 ha.; aun así esta por debajo de lo programado debido la superficie real sembrada depende específicamente de los promoventes.    Efecto: Los efectos en la variación de la meta no son cuantificables debido a que  mientras la superficie sembrada no rebase la superficie permitida no existen incumplimientos.</t>
    </r>
  </si>
  <si>
    <r>
      <t xml:space="preserve">Porcentaje de análisis de enfermedades exóticas emergentes y reemergentes realizados
</t>
    </r>
    <r>
      <rPr>
        <sz val="10"/>
        <rFont val="Soberana Sans"/>
        <family val="2"/>
      </rPr>
      <t xml:space="preserve"> Causa : La meta esta muy por encima de la meta programada debido a que el denominador es un estimado de acuerdo al histórico, sin embargo, la meta se cumplió al 100% al realizar la totalidad de los análisis solicitados. El número de análisis aumento al incrementarse la vigilancia epidemiológica de las enfermedades de las aves a nivel nacional, para el diagnóstico de Influenza Aviar y sus diferenciales.    Efecto: El efecto es positivo ya que se intensifica la vigilancia epidemiológica a fin de evitar la dispersión de la Influenza Aviar a zonas donde no esta presente.</t>
    </r>
  </si>
  <si>
    <r>
      <t xml:space="preserve">Porcentaje de brotes y detecciones de mosca del Mediterráneo atendidos
</t>
    </r>
    <r>
      <rPr>
        <sz val="10"/>
        <rFont val="Soberana Sans"/>
        <family val="2"/>
      </rPr>
      <t xml:space="preserve"> Causa : La meta se encuentra dentro del umbral verde-amarillo.</t>
    </r>
  </si>
  <si>
    <r>
      <t xml:space="preserve">Porcentaje de embarques con mercancía agropecuaria que cumplen con la normatividad sanitaria. 
</t>
    </r>
    <r>
      <rPr>
        <sz val="10"/>
        <rFont val="Soberana Sans"/>
        <family val="2"/>
      </rPr>
      <t xml:space="preserve"> Causa : La meta esta por arriba de lo programado debido a que una número mayor de usuarios cumplen con la normatividad. Es importante mencionar que el número de embarques movilizados así como el cumplimiento de la normatividad es determinado por los usuarios del servicio.    Efecto: Sin efectos cuantificables.</t>
    </r>
  </si>
  <si>
    <r>
      <t xml:space="preserve">Recursos ejercidos en proyectos de sistemas de riego tecnificado con respecto a los recursos asignados al Proyecto
</t>
    </r>
    <r>
      <rPr>
        <sz val="10"/>
        <rFont val="Soberana Sans"/>
        <family val="2"/>
      </rPr>
      <t xml:space="preserve"> Causa : "Derivado de adecuaciones presupuestales, el presupuesto modificado para el componente disminuyó.    Asimismo el dato del numerador representa el presupuesto que se encuentra comprometido y devengado  al cierre del año 2013, pudiendo variar al 31 de marzo de 2014 .    Los datos consideran subsidios directos al productor y gastos asociados a la operación"    Efecto: No hubo efectos significativos, ya que las metas se superaron, a pesar de la reducción presupuestal, debido a que se cubrió una mayor superficie con menos recursos.</t>
    </r>
  </si>
  <si>
    <r>
      <t xml:space="preserve">Porcentaje de superficie tecnificada con respecto a la superficie con infraestructura hidroagrícola 
</t>
    </r>
    <r>
      <rPr>
        <sz val="10"/>
        <rFont val="Soberana Sans"/>
        <family val="2"/>
      </rPr>
      <t xml:space="preserve"> Causa : "Se logró un avance superior a la meta de 2013 (80,000 ha), en 24,000 ha adicionales (en total 104 mil hectáreas tecnificadas).     Se poyaron equipos de aspersión y multicompuertas, que representan un apoyo por hectárea inferior a los equipos de goteo y microaspersión, con aceptables eficiencias en el ahorro de agua; esto permitió una mayor cobertura en superficie atendida, con menor cantidad de recursos.    Además,  existe un error en la línea base, ya  que la superficie tecnificada con el Proyecto Estratégico de Tecnificación del Riego (de 2008 a 2012) es de 363,200 hectáreas hectáreas."     Efecto: Se tiene mayor impacto en el ahorro de agua y mayor eficiencia con la tecnificación de una mayor superficie. Además con el apoyo en la instalación de sistemas de riego tecnificado, disminuyen los costos de producción de los productores agrícolas, y se favorece el incremento de productividad por hectárea.</t>
    </r>
  </si>
  <si>
    <r>
      <t xml:space="preserve">Porcentaje de proyectos apoyados oportunamente
</t>
    </r>
    <r>
      <rPr>
        <sz val="10"/>
        <rFont val="Soberana Sans"/>
        <family val="2"/>
      </rPr>
      <t xml:space="preserve"> Causa : "El resultado se encuentra 3.25 puntos porcentuales por debajo de la meta programada.   Esto se debe a que aún cuando se pagaron mas proyectos de los programados, la cobertura total de proyectos también fue mayor.   Son datos de proyectos ya pagados."    Efecto: No existen efectos significativos, ya que los pagos se realizan de acuerdo a los avances en la instalación de sistemas de riego.</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</si>
</sst>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
      <left/>
      <right/>
      <top style="thick">
        <color rgb="FF333333"/>
      </top>
      <bottom style="thick">
        <color rgb="FF969696"/>
      </bottom>
      <diagonal/>
    </border>
    <border>
      <left/>
      <right/>
      <top style="thin">
        <color rgb="FFD8D8D8"/>
      </top>
      <bottom style="thick">
        <color rgb="FF969696"/>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2" fontId="19" fillId="0" borderId="40" xfId="0" applyNumberFormat="1" applyFont="1" applyBorder="1" applyAlignment="1">
      <alignment horizontal="right" vertical="top" wrapText="1"/>
    </xf>
    <xf numFmtId="2" fontId="0" fillId="0" borderId="41" xfId="0" applyNumberFormat="1" applyBorder="1" applyAlignment="1">
      <alignment horizontal="right" vertical="top" wrapText="1"/>
    </xf>
    <xf numFmtId="2" fontId="19" fillId="0" borderId="43" xfId="0" applyNumberFormat="1" applyFont="1" applyBorder="1" applyAlignment="1">
      <alignment horizontal="right" vertical="top" wrapText="1"/>
    </xf>
    <xf numFmtId="2" fontId="0" fillId="0" borderId="44" xfId="0" applyNumberFormat="1" applyBorder="1" applyAlignment="1">
      <alignment horizontal="right" vertical="top" wrapText="1"/>
    </xf>
    <xf numFmtId="2" fontId="0" fillId="0" borderId="41" xfId="0" applyNumberFormat="1" applyFill="1" applyBorder="1" applyAlignment="1">
      <alignment horizontal="right" vertical="top" wrapText="1"/>
    </xf>
    <xf numFmtId="2" fontId="0" fillId="0" borderId="44" xfId="0" applyNumberFormat="1" applyFill="1" applyBorder="1" applyAlignment="1">
      <alignment horizontal="right" vertical="top" wrapText="1"/>
    </xf>
    <xf numFmtId="0" fontId="18" fillId="0" borderId="13" xfId="0" applyFont="1" applyBorder="1" applyAlignment="1">
      <alignment horizontal="left" vertical="top" wrapText="1"/>
    </xf>
    <xf numFmtId="0" fontId="24" fillId="0" borderId="0" xfId="0" applyFont="1" applyBorder="1" applyAlignment="1">
      <alignment horizontal="left" vertical="top" wrapText="1"/>
    </xf>
    <xf numFmtId="0" fontId="0" fillId="0" borderId="0" xfId="0" applyBorder="1" applyAlignment="1">
      <alignment horizontal="left" vertical="top" wrapText="1"/>
    </xf>
    <xf numFmtId="0" fontId="18" fillId="0" borderId="0" xfId="0" applyFont="1" applyBorder="1" applyAlignment="1">
      <alignment horizontal="left" vertical="top" wrapText="1"/>
    </xf>
    <xf numFmtId="0" fontId="19" fillId="0" borderId="0" xfId="0" applyFont="1" applyBorder="1" applyAlignment="1">
      <alignment horizontal="left" vertical="top"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0" fillId="0" borderId="17" xfId="0" applyBorder="1" applyAlignment="1">
      <alignment horizontal="left" vertical="top" wrapText="1"/>
    </xf>
    <xf numFmtId="0" fontId="19" fillId="0" borderId="17" xfId="0" applyFont="1" applyBorder="1" applyAlignment="1">
      <alignment horizontal="left" vertical="top" wrapText="1"/>
    </xf>
    <xf numFmtId="4" fontId="0" fillId="0" borderId="41" xfId="0" applyNumberFormat="1" applyFill="1" applyBorder="1" applyAlignment="1">
      <alignment horizontal="right" vertical="top" wrapText="1"/>
    </xf>
    <xf numFmtId="4" fontId="0" fillId="0" borderId="44" xfId="0" applyNumberFormat="1" applyFill="1" applyBorder="1" applyAlignment="1">
      <alignment horizontal="right"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0" fillId="0" borderId="43" xfId="0"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0" fillId="0" borderId="40" xfId="0" applyFill="1" applyBorder="1" applyAlignment="1">
      <alignment horizontal="justify" vertical="top" wrapText="1"/>
    </xf>
    <xf numFmtId="0" fontId="18" fillId="36" borderId="22"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28" fillId="0" borderId="0" xfId="0" applyFont="1" applyBorder="1" applyAlignment="1">
      <alignment horizontal="left" vertical="top" wrapText="1"/>
    </xf>
    <xf numFmtId="0" fontId="19" fillId="0" borderId="0" xfId="0" applyFont="1" applyBorder="1" applyAlignment="1">
      <alignment horizontal="left" vertical="top" wrapText="1"/>
    </xf>
    <xf numFmtId="0" fontId="19" fillId="0" borderId="15" xfId="0" applyFont="1" applyBorder="1" applyAlignment="1">
      <alignment horizontal="left"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19" fillId="0" borderId="17" xfId="0" applyFont="1" applyBorder="1" applyAlignment="1">
      <alignment horizontal="left" vertical="top" wrapText="1"/>
    </xf>
    <xf numFmtId="0" fontId="19" fillId="0" borderId="18" xfId="0" applyFont="1" applyBorder="1" applyAlignment="1">
      <alignment horizontal="left" vertical="top" wrapText="1"/>
    </xf>
    <xf numFmtId="0" fontId="0" fillId="0" borderId="62" xfId="0" applyFill="1" applyBorder="1" applyAlignment="1">
      <alignment horizontal="justify" vertical="top" wrapText="1"/>
    </xf>
    <xf numFmtId="0" fontId="0" fillId="0" borderId="40" xfId="0" applyFill="1" applyBorder="1" applyAlignment="1">
      <alignment horizontal="left" vertical="top" wrapText="1"/>
    </xf>
    <xf numFmtId="0" fontId="0" fillId="0" borderId="61" xfId="0" applyFill="1" applyBorder="1" applyAlignment="1">
      <alignment horizontal="left" vertical="top" wrapText="1"/>
    </xf>
    <xf numFmtId="0" fontId="0" fillId="0" borderId="43" xfId="0" applyFill="1" applyBorder="1" applyAlignment="1">
      <alignment horizontal="left"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tabSelected="1" zoomScale="80" zoomScaleNormal="80" zoomScaleSheetLayoutView="80" workbookViewId="0">
      <selection activeCell="C4" sqref="C4"/>
    </sheetView>
  </sheetViews>
  <sheetFormatPr baseColWidth="10" defaultColWidth="5" defaultRowHeight="12.75" x14ac:dyDescent="0.2"/>
  <cols>
    <col min="1" max="1" width="3.5" style="1" customWidth="1"/>
    <col min="2" max="16384" width="5" style="1"/>
  </cols>
  <sheetData>
    <row r="1" spans="2:30" s="2" customFormat="1" ht="48" customHeight="1" x14ac:dyDescent="0.2">
      <c r="B1" s="52" t="s">
        <v>0</v>
      </c>
      <c r="C1" s="52"/>
      <c r="D1" s="52"/>
      <c r="E1" s="52"/>
      <c r="F1" s="52"/>
      <c r="G1" s="52"/>
      <c r="H1" s="52"/>
      <c r="I1" s="52"/>
      <c r="J1" s="52"/>
      <c r="K1" s="52"/>
      <c r="L1" s="52"/>
      <c r="M1" s="52"/>
      <c r="N1" s="52"/>
      <c r="O1" s="52"/>
      <c r="P1" s="52"/>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53" t="s">
        <v>2</v>
      </c>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row>
    <row r="12" spans="2:30" ht="13.5" customHeight="1" x14ac:dyDescent="0.2">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row>
    <row r="13" spans="2:30" ht="13.5" customHeight="1" x14ac:dyDescent="0.2">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row>
    <row r="14" spans="2:30" ht="13.5" customHeight="1" x14ac:dyDescent="0.2">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row>
    <row r="15" spans="2:30" ht="13.5" customHeight="1" x14ac:dyDescent="0.2">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row>
    <row r="16" spans="2:30" ht="13.5" customHeight="1" x14ac:dyDescent="0.2">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row>
    <row r="17" spans="2:30" ht="13.5" customHeight="1" x14ac:dyDescent="0.2">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row>
    <row r="18" spans="2:30" ht="13.5" customHeight="1" x14ac:dyDescent="0.2">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row>
    <row r="19" spans="2:30" ht="13.5" customHeight="1" x14ac:dyDescent="0.2">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row>
    <row r="20" spans="2:30" ht="13.5" customHeight="1" x14ac:dyDescent="0.2">
      <c r="B20" s="53"/>
      <c r="C20" s="53"/>
      <c r="D20" s="53"/>
      <c r="E20" s="53"/>
      <c r="F20" s="53"/>
      <c r="G20" s="53"/>
      <c r="H20" s="53"/>
      <c r="I20" s="53"/>
      <c r="J20" s="53"/>
      <c r="K20" s="53"/>
      <c r="L20" s="53"/>
      <c r="M20" s="53"/>
      <c r="N20" s="53"/>
      <c r="O20" s="53"/>
      <c r="P20" s="53"/>
      <c r="Q20" s="53"/>
      <c r="R20" s="53"/>
      <c r="S20" s="53"/>
      <c r="T20" s="53"/>
      <c r="U20" s="53"/>
      <c r="V20" s="53"/>
      <c r="W20" s="53"/>
      <c r="X20" s="53"/>
      <c r="Y20" s="53"/>
      <c r="Z20" s="53"/>
      <c r="AA20" s="53"/>
      <c r="AB20" s="53"/>
      <c r="AC20" s="53"/>
      <c r="AD20" s="53"/>
    </row>
    <row r="21" spans="2:30" ht="13.5" customHeight="1" x14ac:dyDescent="0.2">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row>
    <row r="22" spans="2:30" ht="13.5" customHeight="1" x14ac:dyDescent="0.2">
      <c r="B22" s="53"/>
      <c r="C22" s="53"/>
      <c r="D22" s="53"/>
      <c r="E22" s="53"/>
      <c r="F22" s="53"/>
      <c r="G22" s="53"/>
      <c r="H22" s="53"/>
      <c r="I22" s="53"/>
      <c r="J22" s="53"/>
      <c r="K22" s="53"/>
      <c r="L22" s="53"/>
      <c r="M22" s="53"/>
      <c r="N22" s="53"/>
      <c r="O22" s="53"/>
      <c r="P22" s="53"/>
      <c r="Q22" s="53"/>
      <c r="R22" s="53"/>
      <c r="S22" s="53"/>
      <c r="T22" s="53"/>
      <c r="U22" s="53"/>
      <c r="V22" s="53"/>
      <c r="W22" s="53"/>
      <c r="X22" s="53"/>
      <c r="Y22" s="53"/>
      <c r="Z22" s="53"/>
      <c r="AA22" s="53"/>
      <c r="AB22" s="53"/>
      <c r="AC22" s="53"/>
      <c r="AD22" s="53"/>
    </row>
    <row r="23" spans="2:30" ht="13.5" customHeight="1" x14ac:dyDescent="0.2">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row>
    <row r="24" spans="2:30" ht="13.5" customHeight="1" x14ac:dyDescent="0.2">
      <c r="B24" s="53"/>
      <c r="C24" s="53"/>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row>
    <row r="25" spans="2:30" ht="13.5" customHeight="1" x14ac:dyDescent="0.2">
      <c r="B25" s="53"/>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row>
    <row r="26" spans="2:30" ht="13.5" customHeight="1" x14ac:dyDescent="0.2">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row>
    <row r="27" spans="2:30" ht="13.5" customHeight="1" x14ac:dyDescent="0.2">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row>
    <row r="28" spans="2:30" ht="13.5" customHeight="1" x14ac:dyDescent="0.2">
      <c r="B28" s="5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row>
    <row r="29" spans="2:30" ht="13.5" customHeight="1" x14ac:dyDescent="0.2">
      <c r="B29" s="53"/>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row>
    <row r="30" spans="2:30" ht="13.5" customHeight="1" x14ac:dyDescent="0.2">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row>
    <row r="31" spans="2:30" ht="13.5" customHeight="1" x14ac:dyDescent="0.2">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row>
    <row r="32" spans="2:30" ht="13.5" customHeight="1" x14ac:dyDescent="0.2">
      <c r="B32" s="53"/>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row>
    <row r="33" spans="2:30" ht="13.5" customHeight="1" x14ac:dyDescent="0.2">
      <c r="B33" s="53"/>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row>
    <row r="34" spans="2:30" ht="13.5" customHeight="1" x14ac:dyDescent="0.2">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4" t="s">
        <v>3</v>
      </c>
      <c r="E49" s="54"/>
      <c r="F49" s="54"/>
      <c r="G49" s="54"/>
      <c r="H49" s="54"/>
      <c r="I49" s="54"/>
      <c r="J49" s="54"/>
      <c r="K49" s="54"/>
      <c r="L49" s="54"/>
      <c r="M49" s="54"/>
      <c r="N49" s="54"/>
      <c r="O49" s="54"/>
      <c r="P49" s="54"/>
      <c r="Q49" s="54"/>
      <c r="R49" s="54"/>
      <c r="S49" s="54"/>
      <c r="T49" s="54"/>
      <c r="U49" s="54"/>
      <c r="V49" s="54"/>
      <c r="W49" s="54"/>
      <c r="X49" s="54"/>
      <c r="Y49" s="54"/>
      <c r="Z49" s="54"/>
      <c r="AA49" s="54"/>
      <c r="AB49" s="54"/>
    </row>
    <row r="50" spans="4:28" ht="13.5" customHeight="1" x14ac:dyDescent="0.2">
      <c r="D50" s="55" t="s">
        <v>4</v>
      </c>
      <c r="E50" s="55"/>
      <c r="F50" s="55"/>
      <c r="G50" s="55"/>
      <c r="H50" s="55"/>
      <c r="I50" s="55"/>
      <c r="J50" s="55"/>
      <c r="K50" s="55"/>
      <c r="L50" s="55"/>
      <c r="M50" s="55"/>
      <c r="N50" s="55"/>
      <c r="O50" s="55"/>
      <c r="P50" s="55"/>
      <c r="Q50" s="55"/>
      <c r="R50" s="55"/>
      <c r="S50" s="55"/>
      <c r="T50" s="55"/>
      <c r="U50" s="55"/>
      <c r="V50" s="55"/>
      <c r="W50" s="55"/>
      <c r="X50" s="55"/>
      <c r="Y50" s="55"/>
      <c r="Z50" s="55"/>
      <c r="AA50" s="55"/>
      <c r="AB50" s="55"/>
    </row>
    <row r="51" spans="4:28" ht="13.5" customHeight="1" x14ac:dyDescent="0.2">
      <c r="D51" s="55"/>
      <c r="E51" s="55"/>
      <c r="F51" s="55"/>
      <c r="G51" s="55"/>
      <c r="H51" s="55"/>
      <c r="I51" s="55"/>
      <c r="J51" s="55"/>
      <c r="K51" s="55"/>
      <c r="L51" s="55"/>
      <c r="M51" s="55"/>
      <c r="N51" s="55"/>
      <c r="O51" s="55"/>
      <c r="P51" s="55"/>
      <c r="Q51" s="55"/>
      <c r="R51" s="55"/>
      <c r="S51" s="55"/>
      <c r="T51" s="55"/>
      <c r="U51" s="55"/>
      <c r="V51" s="55"/>
      <c r="W51" s="55"/>
      <c r="X51" s="55"/>
      <c r="Y51" s="55"/>
      <c r="Z51" s="55"/>
      <c r="AA51" s="55"/>
      <c r="AB51" s="55"/>
    </row>
    <row r="52" spans="4:28" ht="13.5" customHeight="1" x14ac:dyDescent="0.2">
      <c r="D52" s="55"/>
      <c r="E52" s="55"/>
      <c r="F52" s="55"/>
      <c r="G52" s="55"/>
      <c r="H52" s="55"/>
      <c r="I52" s="55"/>
      <c r="J52" s="55"/>
      <c r="K52" s="55"/>
      <c r="L52" s="55"/>
      <c r="M52" s="55"/>
      <c r="N52" s="55"/>
      <c r="O52" s="55"/>
      <c r="P52" s="55"/>
      <c r="Q52" s="55"/>
      <c r="R52" s="55"/>
      <c r="S52" s="55"/>
      <c r="T52" s="55"/>
      <c r="U52" s="55"/>
      <c r="V52" s="55"/>
      <c r="W52" s="55"/>
      <c r="X52" s="55"/>
      <c r="Y52" s="55"/>
      <c r="Z52" s="55"/>
      <c r="AA52" s="55"/>
      <c r="AB52" s="55"/>
    </row>
    <row r="53" spans="4:28" ht="13.5" customHeight="1" x14ac:dyDescent="0.2">
      <c r="D53" s="55"/>
      <c r="E53" s="55"/>
      <c r="F53" s="55"/>
      <c r="G53" s="55"/>
      <c r="H53" s="55"/>
      <c r="I53" s="55"/>
      <c r="J53" s="55"/>
      <c r="K53" s="55"/>
      <c r="L53" s="55"/>
      <c r="M53" s="55"/>
      <c r="N53" s="55"/>
      <c r="O53" s="55"/>
      <c r="P53" s="55"/>
      <c r="Q53" s="55"/>
      <c r="R53" s="55"/>
      <c r="S53" s="55"/>
      <c r="T53" s="55"/>
      <c r="U53" s="55"/>
      <c r="V53" s="55"/>
      <c r="W53" s="55"/>
      <c r="X53" s="55"/>
      <c r="Y53" s="55"/>
      <c r="Z53" s="55"/>
      <c r="AA53" s="55"/>
      <c r="AB53" s="55"/>
    </row>
    <row r="54" spans="4:28" ht="13.5" customHeight="1" x14ac:dyDescent="0.2">
      <c r="D54" s="55"/>
      <c r="E54" s="55"/>
      <c r="F54" s="55"/>
      <c r="G54" s="55"/>
      <c r="H54" s="55"/>
      <c r="I54" s="55"/>
      <c r="J54" s="55"/>
      <c r="K54" s="55"/>
      <c r="L54" s="55"/>
      <c r="M54" s="55"/>
      <c r="N54" s="55"/>
      <c r="O54" s="55"/>
      <c r="P54" s="55"/>
      <c r="Q54" s="55"/>
      <c r="R54" s="55"/>
      <c r="S54" s="55"/>
      <c r="T54" s="55"/>
      <c r="U54" s="55"/>
      <c r="V54" s="55"/>
      <c r="W54" s="55"/>
      <c r="X54" s="55"/>
      <c r="Y54" s="55"/>
      <c r="Z54" s="55"/>
      <c r="AA54" s="55"/>
      <c r="AB54" s="55"/>
    </row>
    <row r="55" spans="4:28" ht="13.5" customHeight="1" x14ac:dyDescent="0.2">
      <c r="D55" s="55"/>
      <c r="E55" s="55"/>
      <c r="F55" s="55"/>
      <c r="G55" s="55"/>
      <c r="H55" s="55"/>
      <c r="I55" s="55"/>
      <c r="J55" s="55"/>
      <c r="K55" s="55"/>
      <c r="L55" s="55"/>
      <c r="M55" s="55"/>
      <c r="N55" s="55"/>
      <c r="O55" s="55"/>
      <c r="P55" s="55"/>
      <c r="Q55" s="55"/>
      <c r="R55" s="55"/>
      <c r="S55" s="55"/>
      <c r="T55" s="55"/>
      <c r="U55" s="55"/>
      <c r="V55" s="55"/>
      <c r="W55" s="55"/>
      <c r="X55" s="55"/>
      <c r="Y55" s="55"/>
      <c r="Z55" s="55"/>
      <c r="AA55" s="55"/>
      <c r="AB55" s="55"/>
    </row>
    <row r="56" spans="4:28" ht="13.5" customHeight="1" x14ac:dyDescent="0.2">
      <c r="D56" s="55"/>
      <c r="E56" s="55"/>
      <c r="F56" s="55"/>
      <c r="G56" s="55"/>
      <c r="H56" s="55"/>
      <c r="I56" s="55"/>
      <c r="J56" s="55"/>
      <c r="K56" s="55"/>
      <c r="L56" s="55"/>
      <c r="M56" s="55"/>
      <c r="N56" s="55"/>
      <c r="O56" s="55"/>
      <c r="P56" s="55"/>
      <c r="Q56" s="55"/>
      <c r="R56" s="55"/>
      <c r="S56" s="55"/>
      <c r="T56" s="55"/>
      <c r="U56" s="55"/>
      <c r="V56" s="55"/>
      <c r="W56" s="55"/>
      <c r="X56" s="55"/>
      <c r="Y56" s="55"/>
      <c r="Z56" s="55"/>
      <c r="AA56" s="55"/>
      <c r="AB56" s="55"/>
    </row>
    <row r="57" spans="4:28" ht="13.5" customHeight="1" x14ac:dyDescent="0.2">
      <c r="D57" s="55"/>
      <c r="E57" s="55"/>
      <c r="F57" s="55"/>
      <c r="G57" s="55"/>
      <c r="H57" s="55"/>
      <c r="I57" s="55"/>
      <c r="J57" s="55"/>
      <c r="K57" s="55"/>
      <c r="L57" s="55"/>
      <c r="M57" s="55"/>
      <c r="N57" s="55"/>
      <c r="O57" s="55"/>
      <c r="P57" s="55"/>
      <c r="Q57" s="55"/>
      <c r="R57" s="55"/>
      <c r="S57" s="55"/>
      <c r="T57" s="55"/>
      <c r="U57" s="55"/>
      <c r="V57" s="55"/>
      <c r="W57" s="55"/>
      <c r="X57" s="55"/>
      <c r="Y57" s="55"/>
      <c r="Z57" s="55"/>
      <c r="AA57" s="55"/>
      <c r="AB57" s="55"/>
    </row>
    <row r="58" spans="4:28" ht="13.5" customHeight="1" x14ac:dyDescent="0.2">
      <c r="D58" s="55"/>
      <c r="E58" s="55"/>
      <c r="F58" s="55"/>
      <c r="G58" s="55"/>
      <c r="H58" s="55"/>
      <c r="I58" s="55"/>
      <c r="J58" s="55"/>
      <c r="K58" s="55"/>
      <c r="L58" s="55"/>
      <c r="M58" s="55"/>
      <c r="N58" s="55"/>
      <c r="O58" s="55"/>
      <c r="P58" s="55"/>
      <c r="Q58" s="55"/>
      <c r="R58" s="55"/>
      <c r="S58" s="55"/>
      <c r="T58" s="55"/>
      <c r="U58" s="55"/>
      <c r="V58" s="55"/>
      <c r="W58" s="55"/>
      <c r="X58" s="55"/>
      <c r="Y58" s="55"/>
      <c r="Z58" s="55"/>
      <c r="AA58" s="55"/>
      <c r="AB58" s="55"/>
    </row>
    <row r="59" spans="4:28" ht="13.5" customHeight="1" x14ac:dyDescent="0.2">
      <c r="D59" s="55"/>
      <c r="E59" s="55"/>
      <c r="F59" s="55"/>
      <c r="G59" s="55"/>
      <c r="H59" s="55"/>
      <c r="I59" s="55"/>
      <c r="J59" s="55"/>
      <c r="K59" s="55"/>
      <c r="L59" s="55"/>
      <c r="M59" s="55"/>
      <c r="N59" s="55"/>
      <c r="O59" s="55"/>
      <c r="P59" s="55"/>
      <c r="Q59" s="55"/>
      <c r="R59" s="55"/>
      <c r="S59" s="55"/>
      <c r="T59" s="55"/>
      <c r="U59" s="55"/>
      <c r="V59" s="55"/>
      <c r="W59" s="55"/>
      <c r="X59" s="55"/>
      <c r="Y59" s="55"/>
      <c r="Z59" s="55"/>
      <c r="AA59" s="55"/>
      <c r="AB59" s="55"/>
    </row>
    <row r="60" spans="4:28" ht="13.5" customHeight="1" x14ac:dyDescent="0.2">
      <c r="D60" s="55"/>
      <c r="E60" s="55"/>
      <c r="F60" s="55"/>
      <c r="G60" s="55"/>
      <c r="H60" s="55"/>
      <c r="I60" s="55"/>
      <c r="J60" s="55"/>
      <c r="K60" s="55"/>
      <c r="L60" s="55"/>
      <c r="M60" s="55"/>
      <c r="N60" s="55"/>
      <c r="O60" s="55"/>
      <c r="P60" s="55"/>
      <c r="Q60" s="55"/>
      <c r="R60" s="55"/>
      <c r="S60" s="55"/>
      <c r="T60" s="55"/>
      <c r="U60" s="55"/>
      <c r="V60" s="55"/>
      <c r="W60" s="55"/>
      <c r="X60" s="55"/>
      <c r="Y60" s="55"/>
      <c r="Z60" s="55"/>
      <c r="AA60" s="55"/>
      <c r="AB60" s="55"/>
    </row>
    <row r="61" spans="4:28" ht="13.5" customHeight="1" x14ac:dyDescent="0.2">
      <c r="D61" s="55"/>
      <c r="E61" s="55"/>
      <c r="F61" s="55"/>
      <c r="G61" s="55"/>
      <c r="H61" s="55"/>
      <c r="I61" s="55"/>
      <c r="J61" s="55"/>
      <c r="K61" s="55"/>
      <c r="L61" s="55"/>
      <c r="M61" s="55"/>
      <c r="N61" s="55"/>
      <c r="O61" s="55"/>
      <c r="P61" s="55"/>
      <c r="Q61" s="55"/>
      <c r="R61" s="55"/>
      <c r="S61" s="55"/>
      <c r="T61" s="55"/>
      <c r="U61" s="55"/>
      <c r="V61" s="55"/>
      <c r="W61" s="55"/>
      <c r="X61" s="55"/>
      <c r="Y61" s="55"/>
      <c r="Z61" s="55"/>
      <c r="AA61" s="55"/>
      <c r="AB61" s="55"/>
    </row>
    <row r="62" spans="4:28" ht="13.5" customHeight="1" x14ac:dyDescent="0.2">
      <c r="D62" s="55"/>
      <c r="E62" s="55"/>
      <c r="F62" s="55"/>
      <c r="G62" s="55"/>
      <c r="H62" s="55"/>
      <c r="I62" s="55"/>
      <c r="J62" s="55"/>
      <c r="K62" s="55"/>
      <c r="L62" s="55"/>
      <c r="M62" s="55"/>
      <c r="N62" s="55"/>
      <c r="O62" s="55"/>
      <c r="P62" s="55"/>
      <c r="Q62" s="55"/>
      <c r="R62" s="55"/>
      <c r="S62" s="55"/>
      <c r="T62" s="55"/>
      <c r="U62" s="55"/>
      <c r="V62" s="55"/>
      <c r="W62" s="55"/>
      <c r="X62" s="55"/>
      <c r="Y62" s="55"/>
      <c r="Z62" s="55"/>
      <c r="AA62" s="55"/>
      <c r="AB62" s="55"/>
    </row>
    <row r="63" spans="4:28" ht="13.5" customHeight="1" x14ac:dyDescent="0.2">
      <c r="D63" s="55"/>
      <c r="E63" s="55"/>
      <c r="F63" s="55"/>
      <c r="G63" s="55"/>
      <c r="H63" s="55"/>
      <c r="I63" s="55"/>
      <c r="J63" s="55"/>
      <c r="K63" s="55"/>
      <c r="L63" s="55"/>
      <c r="M63" s="55"/>
      <c r="N63" s="55"/>
      <c r="O63" s="55"/>
      <c r="P63" s="55"/>
      <c r="Q63" s="55"/>
      <c r="R63" s="55"/>
      <c r="S63" s="55"/>
      <c r="T63" s="55"/>
      <c r="U63" s="55"/>
      <c r="V63" s="55"/>
      <c r="W63" s="55"/>
      <c r="X63" s="55"/>
      <c r="Y63" s="55"/>
      <c r="Z63" s="55"/>
      <c r="AA63" s="55"/>
      <c r="AB63" s="55"/>
    </row>
    <row r="64" spans="4:28" ht="13.5" customHeight="1" x14ac:dyDescent="0.2">
      <c r="D64" s="55"/>
      <c r="E64" s="55"/>
      <c r="F64" s="55"/>
      <c r="G64" s="55"/>
      <c r="H64" s="55"/>
      <c r="I64" s="55"/>
      <c r="J64" s="55"/>
      <c r="K64" s="55"/>
      <c r="L64" s="55"/>
      <c r="M64" s="55"/>
      <c r="N64" s="55"/>
      <c r="O64" s="55"/>
      <c r="P64" s="55"/>
      <c r="Q64" s="55"/>
      <c r="R64" s="55"/>
      <c r="S64" s="55"/>
      <c r="T64" s="55"/>
      <c r="U64" s="55"/>
      <c r="V64" s="55"/>
      <c r="W64" s="55"/>
      <c r="X64" s="55"/>
      <c r="Y64" s="55"/>
      <c r="Z64" s="55"/>
      <c r="AA64" s="55"/>
      <c r="AB64" s="55"/>
    </row>
    <row r="65" spans="4:28" ht="13.5" customHeight="1" x14ac:dyDescent="0.2">
      <c r="D65" s="55"/>
      <c r="E65" s="55"/>
      <c r="F65" s="55"/>
      <c r="G65" s="55"/>
      <c r="H65" s="55"/>
      <c r="I65" s="55"/>
      <c r="J65" s="55"/>
      <c r="K65" s="55"/>
      <c r="L65" s="55"/>
      <c r="M65" s="55"/>
      <c r="N65" s="55"/>
      <c r="O65" s="55"/>
      <c r="P65" s="55"/>
      <c r="Q65" s="55"/>
      <c r="R65" s="55"/>
      <c r="S65" s="55"/>
      <c r="T65" s="55"/>
      <c r="U65" s="55"/>
      <c r="V65" s="55"/>
      <c r="W65" s="55"/>
      <c r="X65" s="55"/>
      <c r="Y65" s="55"/>
      <c r="Z65" s="55"/>
      <c r="AA65" s="55"/>
      <c r="AB65" s="55"/>
    </row>
    <row r="66" spans="4:28" ht="13.5" customHeight="1" x14ac:dyDescent="0.2">
      <c r="D66" s="55"/>
      <c r="E66" s="55"/>
      <c r="F66" s="55"/>
      <c r="G66" s="55"/>
      <c r="H66" s="55"/>
      <c r="I66" s="55"/>
      <c r="J66" s="55"/>
      <c r="K66" s="55"/>
      <c r="L66" s="55"/>
      <c r="M66" s="55"/>
      <c r="N66" s="55"/>
      <c r="O66" s="55"/>
      <c r="P66" s="55"/>
      <c r="Q66" s="55"/>
      <c r="R66" s="55"/>
      <c r="S66" s="55"/>
      <c r="T66" s="55"/>
      <c r="U66" s="55"/>
      <c r="V66" s="55"/>
      <c r="W66" s="55"/>
      <c r="X66" s="55"/>
      <c r="Y66" s="55"/>
      <c r="Z66" s="55"/>
      <c r="AA66" s="55"/>
      <c r="AB66" s="55"/>
    </row>
    <row r="67" spans="4:28" ht="13.5" customHeight="1" x14ac:dyDescent="0.2">
      <c r="D67" s="55"/>
      <c r="E67" s="55"/>
      <c r="F67" s="55"/>
      <c r="G67" s="55"/>
      <c r="H67" s="55"/>
      <c r="I67" s="55"/>
      <c r="J67" s="55"/>
      <c r="K67" s="55"/>
      <c r="L67" s="55"/>
      <c r="M67" s="55"/>
      <c r="N67" s="55"/>
      <c r="O67" s="55"/>
      <c r="P67" s="55"/>
      <c r="Q67" s="55"/>
      <c r="R67" s="55"/>
      <c r="S67" s="55"/>
      <c r="T67" s="55"/>
      <c r="U67" s="55"/>
      <c r="V67" s="55"/>
      <c r="W67" s="55"/>
      <c r="X67" s="55"/>
      <c r="Y67" s="55"/>
      <c r="Z67" s="55"/>
      <c r="AA67" s="55"/>
      <c r="AB67" s="55"/>
    </row>
    <row r="68" spans="4:28" ht="13.5" customHeight="1" x14ac:dyDescent="0.2">
      <c r="D68" s="55"/>
      <c r="E68" s="55"/>
      <c r="F68" s="55"/>
      <c r="G68" s="55"/>
      <c r="H68" s="55"/>
      <c r="I68" s="55"/>
      <c r="J68" s="55"/>
      <c r="K68" s="55"/>
      <c r="L68" s="55"/>
      <c r="M68" s="55"/>
      <c r="N68" s="55"/>
      <c r="O68" s="55"/>
      <c r="P68" s="55"/>
      <c r="Q68" s="55"/>
      <c r="R68" s="55"/>
      <c r="S68" s="55"/>
      <c r="T68" s="55"/>
      <c r="U68" s="55"/>
      <c r="V68" s="55"/>
      <c r="W68" s="55"/>
      <c r="X68" s="55"/>
      <c r="Y68" s="55"/>
      <c r="Z68" s="55"/>
      <c r="AA68" s="55"/>
      <c r="AB68" s="55"/>
    </row>
    <row r="69" spans="4:28" ht="13.5" customHeight="1" x14ac:dyDescent="0.2">
      <c r="D69" s="55"/>
      <c r="E69" s="55"/>
      <c r="F69" s="55"/>
      <c r="G69" s="55"/>
      <c r="H69" s="55"/>
      <c r="I69" s="55"/>
      <c r="J69" s="55"/>
      <c r="K69" s="55"/>
      <c r="L69" s="55"/>
      <c r="M69" s="55"/>
      <c r="N69" s="55"/>
      <c r="O69" s="55"/>
      <c r="P69" s="55"/>
      <c r="Q69" s="55"/>
      <c r="R69" s="55"/>
      <c r="S69" s="55"/>
      <c r="T69" s="55"/>
      <c r="U69" s="55"/>
      <c r="V69" s="55"/>
      <c r="W69" s="55"/>
      <c r="X69" s="55"/>
      <c r="Y69" s="55"/>
      <c r="Z69" s="55"/>
      <c r="AA69" s="55"/>
      <c r="AB69" s="55"/>
    </row>
    <row r="70" spans="4:28" ht="13.5" customHeight="1" x14ac:dyDescent="0.2">
      <c r="D70" s="55"/>
      <c r="E70" s="55"/>
      <c r="F70" s="55"/>
      <c r="G70" s="55"/>
      <c r="H70" s="55"/>
      <c r="I70" s="55"/>
      <c r="J70" s="55"/>
      <c r="K70" s="55"/>
      <c r="L70" s="55"/>
      <c r="M70" s="55"/>
      <c r="N70" s="55"/>
      <c r="O70" s="55"/>
      <c r="P70" s="55"/>
      <c r="Q70" s="55"/>
      <c r="R70" s="55"/>
      <c r="S70" s="55"/>
      <c r="T70" s="55"/>
      <c r="U70" s="55"/>
      <c r="V70" s="55"/>
      <c r="W70" s="55"/>
      <c r="X70" s="55"/>
      <c r="Y70" s="55"/>
      <c r="Z70" s="55"/>
      <c r="AA70" s="55"/>
      <c r="AB70" s="55"/>
    </row>
    <row r="71" spans="4:28" ht="13.5" customHeight="1" x14ac:dyDescent="0.2">
      <c r="D71" s="55"/>
      <c r="E71" s="55"/>
      <c r="F71" s="55"/>
      <c r="G71" s="55"/>
      <c r="H71" s="55"/>
      <c r="I71" s="55"/>
      <c r="J71" s="55"/>
      <c r="K71" s="55"/>
      <c r="L71" s="55"/>
      <c r="M71" s="55"/>
      <c r="N71" s="55"/>
      <c r="O71" s="55"/>
      <c r="P71" s="55"/>
      <c r="Q71" s="55"/>
      <c r="R71" s="55"/>
      <c r="S71" s="55"/>
      <c r="T71" s="55"/>
      <c r="U71" s="55"/>
      <c r="V71" s="55"/>
      <c r="W71" s="55"/>
      <c r="X71" s="55"/>
      <c r="Y71" s="55"/>
      <c r="Z71" s="55"/>
      <c r="AA71" s="55"/>
      <c r="AB71" s="55"/>
    </row>
    <row r="72" spans="4:28" ht="13.5" customHeight="1" x14ac:dyDescent="0.2">
      <c r="D72" s="55"/>
      <c r="E72" s="55"/>
      <c r="F72" s="55"/>
      <c r="G72" s="55"/>
      <c r="H72" s="55"/>
      <c r="I72" s="55"/>
      <c r="J72" s="55"/>
      <c r="K72" s="55"/>
      <c r="L72" s="55"/>
      <c r="M72" s="55"/>
      <c r="N72" s="55"/>
      <c r="O72" s="55"/>
      <c r="P72" s="55"/>
      <c r="Q72" s="55"/>
      <c r="R72" s="55"/>
      <c r="S72" s="55"/>
      <c r="T72" s="55"/>
      <c r="U72" s="55"/>
      <c r="V72" s="55"/>
      <c r="W72" s="55"/>
      <c r="X72" s="55"/>
      <c r="Y72" s="55"/>
      <c r="Z72" s="55"/>
      <c r="AA72" s="55"/>
      <c r="AB72" s="55"/>
    </row>
    <row r="73" spans="4:28" ht="13.5" customHeight="1" x14ac:dyDescent="0.2">
      <c r="D73" s="55"/>
      <c r="E73" s="55"/>
      <c r="F73" s="55"/>
      <c r="G73" s="55"/>
      <c r="H73" s="55"/>
      <c r="I73" s="55"/>
      <c r="J73" s="55"/>
      <c r="K73" s="55"/>
      <c r="L73" s="55"/>
      <c r="M73" s="55"/>
      <c r="N73" s="55"/>
      <c r="O73" s="55"/>
      <c r="P73" s="55"/>
      <c r="Q73" s="55"/>
      <c r="R73" s="55"/>
      <c r="S73" s="55"/>
      <c r="T73" s="55"/>
      <c r="U73" s="55"/>
      <c r="V73" s="55"/>
      <c r="W73" s="55"/>
      <c r="X73" s="55"/>
      <c r="Y73" s="55"/>
      <c r="Z73" s="55"/>
      <c r="AA73" s="55"/>
      <c r="AB73" s="55"/>
    </row>
    <row r="74" spans="4:28" ht="13.5" customHeight="1" x14ac:dyDescent="0.2">
      <c r="D74" s="55"/>
      <c r="E74" s="55"/>
      <c r="F74" s="55"/>
      <c r="G74" s="55"/>
      <c r="H74" s="55"/>
      <c r="I74" s="55"/>
      <c r="J74" s="55"/>
      <c r="K74" s="55"/>
      <c r="L74" s="55"/>
      <c r="M74" s="55"/>
      <c r="N74" s="55"/>
      <c r="O74" s="55"/>
      <c r="P74" s="55"/>
      <c r="Q74" s="55"/>
      <c r="R74" s="55"/>
      <c r="S74" s="55"/>
      <c r="T74" s="55"/>
      <c r="U74" s="55"/>
      <c r="V74" s="55"/>
      <c r="W74" s="55"/>
      <c r="X74" s="55"/>
      <c r="Y74" s="55"/>
      <c r="Z74" s="55"/>
      <c r="AA74" s="55"/>
      <c r="AB74" s="55"/>
    </row>
    <row r="75" spans="4:28" ht="13.5" customHeight="1" x14ac:dyDescent="0.2">
      <c r="D75" s="55"/>
      <c r="E75" s="55"/>
      <c r="F75" s="55"/>
      <c r="G75" s="55"/>
      <c r="H75" s="55"/>
      <c r="I75" s="55"/>
      <c r="J75" s="55"/>
      <c r="K75" s="55"/>
      <c r="L75" s="55"/>
      <c r="M75" s="55"/>
      <c r="N75" s="55"/>
      <c r="O75" s="55"/>
      <c r="P75" s="55"/>
      <c r="Q75" s="55"/>
      <c r="R75" s="55"/>
      <c r="S75" s="55"/>
      <c r="T75" s="55"/>
      <c r="U75" s="55"/>
      <c r="V75" s="55"/>
      <c r="W75" s="55"/>
      <c r="X75" s="55"/>
      <c r="Y75" s="55"/>
      <c r="Z75" s="55"/>
      <c r="AA75" s="55"/>
      <c r="AB75" s="55"/>
    </row>
    <row r="76" spans="4:28" ht="13.5" customHeight="1" x14ac:dyDescent="0.2">
      <c r="D76" s="55"/>
      <c r="E76" s="55"/>
      <c r="F76" s="55"/>
      <c r="G76" s="55"/>
      <c r="H76" s="55"/>
      <c r="I76" s="55"/>
      <c r="J76" s="55"/>
      <c r="K76" s="55"/>
      <c r="L76" s="55"/>
      <c r="M76" s="55"/>
      <c r="N76" s="55"/>
      <c r="O76" s="55"/>
      <c r="P76" s="55"/>
      <c r="Q76" s="55"/>
      <c r="R76" s="55"/>
      <c r="S76" s="55"/>
      <c r="T76" s="55"/>
      <c r="U76" s="55"/>
      <c r="V76" s="55"/>
      <c r="W76" s="55"/>
      <c r="X76" s="55"/>
      <c r="Y76" s="55"/>
      <c r="Z76" s="55"/>
      <c r="AA76" s="55"/>
      <c r="AB76" s="55"/>
    </row>
    <row r="77" spans="4:28" ht="13.5" customHeight="1" x14ac:dyDescent="0.2">
      <c r="D77" s="55"/>
      <c r="E77" s="55"/>
      <c r="F77" s="55"/>
      <c r="G77" s="55"/>
      <c r="H77" s="55"/>
      <c r="I77" s="55"/>
      <c r="J77" s="55"/>
      <c r="K77" s="55"/>
      <c r="L77" s="55"/>
      <c r="M77" s="55"/>
      <c r="N77" s="55"/>
      <c r="O77" s="55"/>
      <c r="P77" s="55"/>
      <c r="Q77" s="55"/>
      <c r="R77" s="55"/>
      <c r="S77" s="55"/>
      <c r="T77" s="55"/>
      <c r="U77" s="55"/>
      <c r="V77" s="55"/>
      <c r="W77" s="55"/>
      <c r="X77" s="55"/>
      <c r="Y77" s="55"/>
      <c r="Z77" s="55"/>
      <c r="AA77" s="55"/>
      <c r="AB77" s="55"/>
    </row>
    <row r="78" spans="4:28" ht="13.5" customHeight="1" x14ac:dyDescent="0.2">
      <c r="D78" s="55"/>
      <c r="E78" s="55"/>
      <c r="F78" s="55"/>
      <c r="G78" s="55"/>
      <c r="H78" s="55"/>
      <c r="I78" s="55"/>
      <c r="J78" s="55"/>
      <c r="K78" s="55"/>
      <c r="L78" s="55"/>
      <c r="M78" s="55"/>
      <c r="N78" s="55"/>
      <c r="O78" s="55"/>
      <c r="P78" s="55"/>
      <c r="Q78" s="55"/>
      <c r="R78" s="55"/>
      <c r="S78" s="55"/>
      <c r="T78" s="55"/>
      <c r="U78" s="55"/>
      <c r="V78" s="55"/>
      <c r="W78" s="55"/>
      <c r="X78" s="55"/>
      <c r="Y78" s="55"/>
      <c r="Z78" s="55"/>
      <c r="AA78" s="55"/>
      <c r="AB78" s="55"/>
    </row>
    <row r="79" spans="4:28" ht="13.5" customHeight="1" x14ac:dyDescent="0.2">
      <c r="D79" s="55"/>
      <c r="E79" s="55"/>
      <c r="F79" s="55"/>
      <c r="G79" s="55"/>
      <c r="H79" s="55"/>
      <c r="I79" s="55"/>
      <c r="J79" s="55"/>
      <c r="K79" s="55"/>
      <c r="L79" s="55"/>
      <c r="M79" s="55"/>
      <c r="N79" s="55"/>
      <c r="O79" s="55"/>
      <c r="P79" s="55"/>
      <c r="Q79" s="55"/>
      <c r="R79" s="55"/>
      <c r="S79" s="55"/>
      <c r="T79" s="55"/>
      <c r="U79" s="55"/>
      <c r="V79" s="55"/>
      <c r="W79" s="55"/>
      <c r="X79" s="55"/>
      <c r="Y79" s="55"/>
      <c r="Z79" s="55"/>
      <c r="AA79" s="55"/>
      <c r="AB79" s="55"/>
    </row>
    <row r="80" spans="4:28" ht="13.5" customHeight="1" x14ac:dyDescent="0.2">
      <c r="D80" s="55"/>
      <c r="E80" s="55"/>
      <c r="F80" s="55"/>
      <c r="G80" s="55"/>
      <c r="H80" s="55"/>
      <c r="I80" s="55"/>
      <c r="J80" s="55"/>
      <c r="K80" s="55"/>
      <c r="L80" s="55"/>
      <c r="M80" s="55"/>
      <c r="N80" s="55"/>
      <c r="O80" s="55"/>
      <c r="P80" s="55"/>
      <c r="Q80" s="55"/>
      <c r="R80" s="55"/>
      <c r="S80" s="55"/>
      <c r="T80" s="55"/>
      <c r="U80" s="55"/>
      <c r="V80" s="55"/>
      <c r="W80" s="55"/>
      <c r="X80" s="55"/>
      <c r="Y80" s="55"/>
      <c r="Z80" s="55"/>
      <c r="AA80" s="55"/>
      <c r="AB80" s="55"/>
    </row>
    <row r="81" spans="4:28" ht="13.5" customHeight="1" x14ac:dyDescent="0.2">
      <c r="D81" s="55"/>
      <c r="E81" s="55"/>
      <c r="F81" s="55"/>
      <c r="G81" s="55"/>
      <c r="H81" s="55"/>
      <c r="I81" s="55"/>
      <c r="J81" s="55"/>
      <c r="K81" s="55"/>
      <c r="L81" s="55"/>
      <c r="M81" s="55"/>
      <c r="N81" s="55"/>
      <c r="O81" s="55"/>
      <c r="P81" s="55"/>
      <c r="Q81" s="55"/>
      <c r="R81" s="55"/>
      <c r="S81" s="55"/>
      <c r="T81" s="55"/>
      <c r="U81" s="55"/>
      <c r="V81" s="55"/>
      <c r="W81" s="55"/>
      <c r="X81" s="55"/>
      <c r="Y81" s="55"/>
      <c r="Z81" s="55"/>
      <c r="AA81" s="55"/>
      <c r="AB81" s="55"/>
    </row>
    <row r="82" spans="4:28" ht="13.5" customHeight="1" x14ac:dyDescent="0.2">
      <c r="D82" s="55"/>
      <c r="E82" s="55"/>
      <c r="F82" s="55"/>
      <c r="G82" s="55"/>
      <c r="H82" s="55"/>
      <c r="I82" s="55"/>
      <c r="J82" s="55"/>
      <c r="K82" s="55"/>
      <c r="L82" s="55"/>
      <c r="M82" s="55"/>
      <c r="N82" s="55"/>
      <c r="O82" s="55"/>
      <c r="P82" s="55"/>
      <c r="Q82" s="55"/>
      <c r="R82" s="55"/>
      <c r="S82" s="55"/>
      <c r="T82" s="55"/>
      <c r="U82" s="55"/>
      <c r="V82" s="55"/>
      <c r="W82" s="55"/>
      <c r="X82" s="55"/>
      <c r="Y82" s="55"/>
      <c r="Z82" s="55"/>
      <c r="AA82" s="55"/>
      <c r="AB82" s="55"/>
    </row>
    <row r="83" spans="4:28" ht="13.5" customHeight="1" x14ac:dyDescent="0.2">
      <c r="D83" s="55"/>
      <c r="E83" s="55"/>
      <c r="F83" s="55"/>
      <c r="G83" s="55"/>
      <c r="H83" s="55"/>
      <c r="I83" s="55"/>
      <c r="J83" s="55"/>
      <c r="K83" s="55"/>
      <c r="L83" s="55"/>
      <c r="M83" s="55"/>
      <c r="N83" s="55"/>
      <c r="O83" s="55"/>
      <c r="P83" s="55"/>
      <c r="Q83" s="55"/>
      <c r="R83" s="55"/>
      <c r="S83" s="55"/>
      <c r="T83" s="55"/>
      <c r="U83" s="55"/>
      <c r="V83" s="55"/>
      <c r="W83" s="55"/>
      <c r="X83" s="55"/>
      <c r="Y83" s="55"/>
      <c r="Z83" s="55"/>
      <c r="AA83" s="55"/>
      <c r="AB83" s="55"/>
    </row>
    <row r="84" spans="4:28" ht="13.5" customHeight="1" x14ac:dyDescent="0.2">
      <c r="D84" s="55"/>
      <c r="E84" s="55"/>
      <c r="F84" s="55"/>
      <c r="G84" s="55"/>
      <c r="H84" s="55"/>
      <c r="I84" s="55"/>
      <c r="J84" s="55"/>
      <c r="K84" s="55"/>
      <c r="L84" s="55"/>
      <c r="M84" s="55"/>
      <c r="N84" s="55"/>
      <c r="O84" s="55"/>
      <c r="P84" s="55"/>
      <c r="Q84" s="55"/>
      <c r="R84" s="55"/>
      <c r="S84" s="55"/>
      <c r="T84" s="55"/>
      <c r="U84" s="55"/>
      <c r="V84" s="55"/>
      <c r="W84" s="55"/>
      <c r="X84" s="55"/>
      <c r="Y84" s="55"/>
      <c r="Z84" s="55"/>
      <c r="AA84" s="55"/>
      <c r="AB84" s="55"/>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7"/>
  <sheetViews>
    <sheetView topLeftCell="M25" zoomScale="80" zoomScaleNormal="80" zoomScaleSheetLayoutView="80" workbookViewId="0">
      <selection activeCell="S34" sqref="S34:U35"/>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3" style="1" customWidth="1"/>
    <col min="20" max="20" width="10.75" style="1" customWidth="1"/>
    <col min="21" max="21" width="11.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2" t="s">
        <v>0</v>
      </c>
      <c r="C1" s="52"/>
      <c r="D1" s="52"/>
      <c r="E1" s="52"/>
      <c r="F1" s="52"/>
      <c r="G1" s="52"/>
      <c r="H1" s="52"/>
      <c r="I1" s="52"/>
      <c r="J1" s="52"/>
      <c r="K1" s="52"/>
      <c r="L1" s="52"/>
      <c r="M1" s="3" t="s">
        <v>1</v>
      </c>
    </row>
    <row r="2" spans="1:21" ht="13.5" customHeight="1" thickBot="1" x14ac:dyDescent="0.25"/>
    <row r="3" spans="1:21" ht="20.25" customHeight="1" thickTop="1" thickBot="1" x14ac:dyDescent="0.25">
      <c r="B3" s="4" t="s">
        <v>5</v>
      </c>
      <c r="C3" s="5"/>
      <c r="D3" s="5"/>
      <c r="E3" s="5"/>
      <c r="F3" s="5"/>
      <c r="G3" s="5"/>
      <c r="H3" s="6"/>
      <c r="I3" s="6"/>
      <c r="J3" s="6"/>
      <c r="K3" s="6"/>
      <c r="L3" s="6"/>
      <c r="M3" s="6"/>
      <c r="N3" s="6"/>
      <c r="O3" s="6"/>
      <c r="P3" s="6"/>
      <c r="Q3" s="6"/>
      <c r="R3" s="6"/>
      <c r="S3" s="6"/>
      <c r="T3" s="6"/>
      <c r="U3" s="7"/>
    </row>
    <row r="4" spans="1:21" ht="72.75" customHeight="1" thickTop="1" x14ac:dyDescent="0.2">
      <c r="B4" s="39" t="s">
        <v>6</v>
      </c>
      <c r="C4" s="40" t="s">
        <v>7</v>
      </c>
      <c r="D4" s="90" t="s">
        <v>8</v>
      </c>
      <c r="E4" s="90"/>
      <c r="F4" s="90"/>
      <c r="G4" s="90"/>
      <c r="H4" s="90"/>
      <c r="I4" s="41"/>
      <c r="J4" s="42" t="s">
        <v>9</v>
      </c>
      <c r="K4" s="43" t="s">
        <v>10</v>
      </c>
      <c r="L4" s="91" t="s">
        <v>11</v>
      </c>
      <c r="M4" s="91"/>
      <c r="N4" s="91"/>
      <c r="O4" s="91"/>
      <c r="P4" s="42" t="s">
        <v>12</v>
      </c>
      <c r="Q4" s="91" t="s">
        <v>13</v>
      </c>
      <c r="R4" s="91"/>
      <c r="S4" s="42" t="s">
        <v>14</v>
      </c>
      <c r="T4" s="91"/>
      <c r="U4" s="92"/>
    </row>
    <row r="5" spans="1:21" ht="15.75" customHeight="1" x14ac:dyDescent="0.2">
      <c r="B5" s="93" t="s">
        <v>15</v>
      </c>
      <c r="C5" s="94"/>
      <c r="D5" s="94"/>
      <c r="E5" s="94"/>
      <c r="F5" s="94"/>
      <c r="G5" s="94"/>
      <c r="H5" s="94"/>
      <c r="I5" s="94"/>
      <c r="J5" s="94"/>
      <c r="K5" s="94"/>
      <c r="L5" s="94"/>
      <c r="M5" s="94"/>
      <c r="N5" s="94"/>
      <c r="O5" s="94"/>
      <c r="P5" s="94"/>
      <c r="Q5" s="94"/>
      <c r="R5" s="94"/>
      <c r="S5" s="94"/>
      <c r="T5" s="94"/>
      <c r="U5" s="95"/>
    </row>
    <row r="6" spans="1:21" ht="63.75" customHeight="1" thickBot="1" x14ac:dyDescent="0.25">
      <c r="B6" s="44" t="s">
        <v>16</v>
      </c>
      <c r="C6" s="98" t="s">
        <v>17</v>
      </c>
      <c r="D6" s="98"/>
      <c r="E6" s="98"/>
      <c r="F6" s="98"/>
      <c r="G6" s="98"/>
      <c r="H6" s="45"/>
      <c r="I6" s="45"/>
      <c r="J6" s="45" t="s">
        <v>18</v>
      </c>
      <c r="K6" s="98" t="s">
        <v>19</v>
      </c>
      <c r="L6" s="98"/>
      <c r="M6" s="98"/>
      <c r="N6" s="46"/>
      <c r="O6" s="45" t="s">
        <v>20</v>
      </c>
      <c r="P6" s="98" t="s">
        <v>21</v>
      </c>
      <c r="Q6" s="98"/>
      <c r="R6" s="47"/>
      <c r="S6" s="45" t="s">
        <v>22</v>
      </c>
      <c r="T6" s="98" t="s">
        <v>23</v>
      </c>
      <c r="U6" s="99"/>
    </row>
    <row r="7" spans="1:21" ht="2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5" t="s">
        <v>25</v>
      </c>
      <c r="C8" s="71" t="s">
        <v>26</v>
      </c>
      <c r="D8" s="71"/>
      <c r="E8" s="71"/>
      <c r="F8" s="71"/>
      <c r="G8" s="71"/>
      <c r="H8" s="78"/>
      <c r="I8" s="83" t="s">
        <v>27</v>
      </c>
      <c r="J8" s="84"/>
      <c r="K8" s="84"/>
      <c r="L8" s="84"/>
      <c r="M8" s="84"/>
      <c r="N8" s="84"/>
      <c r="O8" s="84"/>
      <c r="P8" s="84"/>
      <c r="Q8" s="84"/>
      <c r="R8" s="84"/>
      <c r="S8" s="85"/>
      <c r="T8" s="86" t="s">
        <v>28</v>
      </c>
      <c r="U8" s="87"/>
    </row>
    <row r="9" spans="1:21" ht="19.5" customHeight="1" x14ac:dyDescent="0.2">
      <c r="B9" s="76"/>
      <c r="C9" s="79"/>
      <c r="D9" s="79"/>
      <c r="E9" s="79"/>
      <c r="F9" s="79"/>
      <c r="G9" s="79"/>
      <c r="H9" s="80"/>
      <c r="I9" s="88" t="s">
        <v>29</v>
      </c>
      <c r="J9" s="71"/>
      <c r="K9" s="71"/>
      <c r="L9" s="71" t="s">
        <v>30</v>
      </c>
      <c r="M9" s="71"/>
      <c r="N9" s="71"/>
      <c r="O9" s="71"/>
      <c r="P9" s="71" t="s">
        <v>31</v>
      </c>
      <c r="Q9" s="71" t="s">
        <v>32</v>
      </c>
      <c r="R9" s="73" t="s">
        <v>33</v>
      </c>
      <c r="S9" s="74"/>
      <c r="T9" s="71" t="s">
        <v>34</v>
      </c>
      <c r="U9" s="96" t="s">
        <v>35</v>
      </c>
    </row>
    <row r="10" spans="1:21" ht="43.5" customHeight="1" thickBot="1" x14ac:dyDescent="0.25">
      <c r="B10" s="77"/>
      <c r="C10" s="81"/>
      <c r="D10" s="81"/>
      <c r="E10" s="81"/>
      <c r="F10" s="81"/>
      <c r="G10" s="81"/>
      <c r="H10" s="82"/>
      <c r="I10" s="89"/>
      <c r="J10" s="72"/>
      <c r="K10" s="72"/>
      <c r="L10" s="72"/>
      <c r="M10" s="72"/>
      <c r="N10" s="72"/>
      <c r="O10" s="72"/>
      <c r="P10" s="72"/>
      <c r="Q10" s="72"/>
      <c r="R10" s="9" t="s">
        <v>36</v>
      </c>
      <c r="S10" s="10" t="s">
        <v>37</v>
      </c>
      <c r="T10" s="72"/>
      <c r="U10" s="97"/>
    </row>
    <row r="11" spans="1:21" ht="98.25" customHeight="1" thickTop="1" thickBot="1" x14ac:dyDescent="0.25">
      <c r="A11" s="11"/>
      <c r="B11" s="12" t="s">
        <v>38</v>
      </c>
      <c r="C11" s="70" t="s">
        <v>39</v>
      </c>
      <c r="D11" s="70"/>
      <c r="E11" s="70"/>
      <c r="F11" s="70"/>
      <c r="G11" s="70"/>
      <c r="H11" s="70"/>
      <c r="I11" s="70" t="s">
        <v>40</v>
      </c>
      <c r="J11" s="70"/>
      <c r="K11" s="70"/>
      <c r="L11" s="70" t="s">
        <v>41</v>
      </c>
      <c r="M11" s="70"/>
      <c r="N11" s="70"/>
      <c r="O11" s="70"/>
      <c r="P11" s="13" t="s">
        <v>42</v>
      </c>
      <c r="Q11" s="13" t="s">
        <v>43</v>
      </c>
      <c r="R11" s="33" t="s">
        <v>44</v>
      </c>
      <c r="S11" s="33">
        <v>5</v>
      </c>
      <c r="T11" s="33" t="s">
        <v>44</v>
      </c>
      <c r="U11" s="37" t="str">
        <f>"N/A"</f>
        <v>N/A</v>
      </c>
    </row>
    <row r="12" spans="1:21" ht="75" customHeight="1" thickTop="1" x14ac:dyDescent="0.2">
      <c r="A12" s="11"/>
      <c r="B12" s="12" t="s">
        <v>45</v>
      </c>
      <c r="C12" s="70" t="s">
        <v>46</v>
      </c>
      <c r="D12" s="70"/>
      <c r="E12" s="70"/>
      <c r="F12" s="70"/>
      <c r="G12" s="70"/>
      <c r="H12" s="70"/>
      <c r="I12" s="70" t="s">
        <v>47</v>
      </c>
      <c r="J12" s="70"/>
      <c r="K12" s="70"/>
      <c r="L12" s="70" t="s">
        <v>48</v>
      </c>
      <c r="M12" s="70"/>
      <c r="N12" s="70"/>
      <c r="O12" s="70"/>
      <c r="P12" s="13" t="s">
        <v>49</v>
      </c>
      <c r="Q12" s="13" t="s">
        <v>50</v>
      </c>
      <c r="R12" s="33" t="s">
        <v>44</v>
      </c>
      <c r="S12" s="33">
        <v>4.74</v>
      </c>
      <c r="T12" s="33">
        <v>5.07</v>
      </c>
      <c r="U12" s="37">
        <f>106.96</f>
        <v>106.96</v>
      </c>
    </row>
    <row r="13" spans="1:21" ht="105.75" customHeight="1" thickBot="1" x14ac:dyDescent="0.25">
      <c r="A13" s="11"/>
      <c r="B13" s="14" t="s">
        <v>51</v>
      </c>
      <c r="C13" s="62" t="s">
        <v>51</v>
      </c>
      <c r="D13" s="62"/>
      <c r="E13" s="62"/>
      <c r="F13" s="62"/>
      <c r="G13" s="62"/>
      <c r="H13" s="62"/>
      <c r="I13" s="62" t="s">
        <v>52</v>
      </c>
      <c r="J13" s="62"/>
      <c r="K13" s="62"/>
      <c r="L13" s="62" t="s">
        <v>53</v>
      </c>
      <c r="M13" s="62"/>
      <c r="N13" s="62"/>
      <c r="O13" s="62"/>
      <c r="P13" s="15" t="s">
        <v>49</v>
      </c>
      <c r="Q13" s="15" t="s">
        <v>50</v>
      </c>
      <c r="R13" s="35" t="s">
        <v>44</v>
      </c>
      <c r="S13" s="35">
        <v>49.22</v>
      </c>
      <c r="T13" s="35">
        <v>43.3</v>
      </c>
      <c r="U13" s="38">
        <f>87.97</f>
        <v>87.97</v>
      </c>
    </row>
    <row r="14" spans="1:21" ht="99.75" customHeight="1" thickTop="1" x14ac:dyDescent="0.2">
      <c r="A14" s="11"/>
      <c r="B14" s="12" t="s">
        <v>54</v>
      </c>
      <c r="C14" s="70" t="s">
        <v>55</v>
      </c>
      <c r="D14" s="70"/>
      <c r="E14" s="70"/>
      <c r="F14" s="70"/>
      <c r="G14" s="70"/>
      <c r="H14" s="70"/>
      <c r="I14" s="70" t="s">
        <v>56</v>
      </c>
      <c r="J14" s="70"/>
      <c r="K14" s="70"/>
      <c r="L14" s="70" t="s">
        <v>57</v>
      </c>
      <c r="M14" s="70"/>
      <c r="N14" s="70"/>
      <c r="O14" s="70"/>
      <c r="P14" s="13" t="s">
        <v>49</v>
      </c>
      <c r="Q14" s="13" t="s">
        <v>50</v>
      </c>
      <c r="R14" s="33">
        <v>4.5</v>
      </c>
      <c r="S14" s="33">
        <v>4.88</v>
      </c>
      <c r="T14" s="33">
        <v>5.0999999999999996</v>
      </c>
      <c r="U14" s="37">
        <f>104.5</f>
        <v>104.5</v>
      </c>
    </row>
    <row r="15" spans="1:21" ht="105" customHeight="1" x14ac:dyDescent="0.2">
      <c r="A15" s="11"/>
      <c r="B15" s="14" t="s">
        <v>51</v>
      </c>
      <c r="C15" s="62" t="s">
        <v>58</v>
      </c>
      <c r="D15" s="62"/>
      <c r="E15" s="62"/>
      <c r="F15" s="62"/>
      <c r="G15" s="62"/>
      <c r="H15" s="62"/>
      <c r="I15" s="62" t="s">
        <v>59</v>
      </c>
      <c r="J15" s="62"/>
      <c r="K15" s="62"/>
      <c r="L15" s="62" t="s">
        <v>60</v>
      </c>
      <c r="M15" s="62"/>
      <c r="N15" s="62"/>
      <c r="O15" s="62"/>
      <c r="P15" s="15" t="s">
        <v>49</v>
      </c>
      <c r="Q15" s="15" t="s">
        <v>61</v>
      </c>
      <c r="R15" s="35">
        <v>100</v>
      </c>
      <c r="S15" s="35">
        <v>100</v>
      </c>
      <c r="T15" s="35">
        <v>0</v>
      </c>
      <c r="U15" s="38">
        <f>0</f>
        <v>0</v>
      </c>
    </row>
    <row r="16" spans="1:21" ht="94.5" customHeight="1" x14ac:dyDescent="0.2">
      <c r="A16" s="11"/>
      <c r="B16" s="14" t="s">
        <v>51</v>
      </c>
      <c r="C16" s="62" t="s">
        <v>51</v>
      </c>
      <c r="D16" s="62"/>
      <c r="E16" s="62"/>
      <c r="F16" s="62"/>
      <c r="G16" s="62"/>
      <c r="H16" s="62"/>
      <c r="I16" s="62" t="s">
        <v>62</v>
      </c>
      <c r="J16" s="62"/>
      <c r="K16" s="62"/>
      <c r="L16" s="62" t="s">
        <v>63</v>
      </c>
      <c r="M16" s="62"/>
      <c r="N16" s="62"/>
      <c r="O16" s="62"/>
      <c r="P16" s="15" t="s">
        <v>49</v>
      </c>
      <c r="Q16" s="15" t="s">
        <v>64</v>
      </c>
      <c r="R16" s="35">
        <v>100</v>
      </c>
      <c r="S16" s="35">
        <v>100</v>
      </c>
      <c r="T16" s="35">
        <v>102.63</v>
      </c>
      <c r="U16" s="38">
        <f>102.63</f>
        <v>102.63</v>
      </c>
    </row>
    <row r="17" spans="1:22" ht="94.5" customHeight="1" x14ac:dyDescent="0.2">
      <c r="A17" s="11"/>
      <c r="B17" s="14" t="s">
        <v>51</v>
      </c>
      <c r="C17" s="62" t="s">
        <v>51</v>
      </c>
      <c r="D17" s="62"/>
      <c r="E17" s="62"/>
      <c r="F17" s="62"/>
      <c r="G17" s="62"/>
      <c r="H17" s="62"/>
      <c r="I17" s="62" t="s">
        <v>65</v>
      </c>
      <c r="J17" s="62"/>
      <c r="K17" s="62"/>
      <c r="L17" s="62" t="s">
        <v>66</v>
      </c>
      <c r="M17" s="62"/>
      <c r="N17" s="62"/>
      <c r="O17" s="62"/>
      <c r="P17" s="15" t="s">
        <v>49</v>
      </c>
      <c r="Q17" s="15" t="s">
        <v>64</v>
      </c>
      <c r="R17" s="35">
        <v>100</v>
      </c>
      <c r="S17" s="35">
        <v>100</v>
      </c>
      <c r="T17" s="35">
        <v>87.43</v>
      </c>
      <c r="U17" s="38">
        <f>87.43</f>
        <v>87.43</v>
      </c>
    </row>
    <row r="18" spans="1:22" ht="75" customHeight="1" x14ac:dyDescent="0.2">
      <c r="A18" s="11"/>
      <c r="B18" s="14" t="s">
        <v>51</v>
      </c>
      <c r="C18" s="62" t="s">
        <v>67</v>
      </c>
      <c r="D18" s="62"/>
      <c r="E18" s="62"/>
      <c r="F18" s="62"/>
      <c r="G18" s="62"/>
      <c r="H18" s="62"/>
      <c r="I18" s="62" t="s">
        <v>68</v>
      </c>
      <c r="J18" s="62"/>
      <c r="K18" s="62"/>
      <c r="L18" s="62" t="s">
        <v>69</v>
      </c>
      <c r="M18" s="62"/>
      <c r="N18" s="62"/>
      <c r="O18" s="62"/>
      <c r="P18" s="15" t="s">
        <v>49</v>
      </c>
      <c r="Q18" s="15" t="s">
        <v>70</v>
      </c>
      <c r="R18" s="35">
        <v>16.5</v>
      </c>
      <c r="S18" s="35">
        <v>8.11</v>
      </c>
      <c r="T18" s="35">
        <v>8.11</v>
      </c>
      <c r="U18" s="38">
        <f>100</f>
        <v>100</v>
      </c>
    </row>
    <row r="19" spans="1:22" ht="84.75" customHeight="1" x14ac:dyDescent="0.2">
      <c r="A19" s="11"/>
      <c r="B19" s="14" t="s">
        <v>51</v>
      </c>
      <c r="C19" s="62" t="s">
        <v>51</v>
      </c>
      <c r="D19" s="62"/>
      <c r="E19" s="62"/>
      <c r="F19" s="62"/>
      <c r="G19" s="62"/>
      <c r="H19" s="62"/>
      <c r="I19" s="62" t="s">
        <v>71</v>
      </c>
      <c r="J19" s="62"/>
      <c r="K19" s="62"/>
      <c r="L19" s="62" t="s">
        <v>72</v>
      </c>
      <c r="M19" s="62"/>
      <c r="N19" s="62"/>
      <c r="O19" s="62"/>
      <c r="P19" s="15" t="s">
        <v>49</v>
      </c>
      <c r="Q19" s="15" t="s">
        <v>70</v>
      </c>
      <c r="R19" s="35" t="s">
        <v>44</v>
      </c>
      <c r="S19" s="35">
        <v>16.5</v>
      </c>
      <c r="T19" s="35">
        <v>16.96</v>
      </c>
      <c r="U19" s="38">
        <f>102.78</f>
        <v>102.78</v>
      </c>
    </row>
    <row r="20" spans="1:22" ht="115.5" customHeight="1" thickBot="1" x14ac:dyDescent="0.25">
      <c r="A20" s="11"/>
      <c r="B20" s="14" t="s">
        <v>51</v>
      </c>
      <c r="C20" s="62" t="s">
        <v>73</v>
      </c>
      <c r="D20" s="62"/>
      <c r="E20" s="62"/>
      <c r="F20" s="62"/>
      <c r="G20" s="62"/>
      <c r="H20" s="62"/>
      <c r="I20" s="62" t="s">
        <v>74</v>
      </c>
      <c r="J20" s="62"/>
      <c r="K20" s="62"/>
      <c r="L20" s="62" t="s">
        <v>75</v>
      </c>
      <c r="M20" s="62"/>
      <c r="N20" s="62"/>
      <c r="O20" s="62"/>
      <c r="P20" s="15" t="s">
        <v>49</v>
      </c>
      <c r="Q20" s="15" t="s">
        <v>61</v>
      </c>
      <c r="R20" s="35">
        <v>30</v>
      </c>
      <c r="S20" s="35">
        <v>30</v>
      </c>
      <c r="T20" s="35">
        <v>28.83</v>
      </c>
      <c r="U20" s="38">
        <f>96.1</f>
        <v>96.1</v>
      </c>
    </row>
    <row r="21" spans="1:22" ht="75" customHeight="1" thickTop="1" x14ac:dyDescent="0.2">
      <c r="A21" s="11"/>
      <c r="B21" s="12" t="s">
        <v>76</v>
      </c>
      <c r="C21" s="70" t="s">
        <v>77</v>
      </c>
      <c r="D21" s="70"/>
      <c r="E21" s="70"/>
      <c r="F21" s="70"/>
      <c r="G21" s="70"/>
      <c r="H21" s="70"/>
      <c r="I21" s="70" t="s">
        <v>78</v>
      </c>
      <c r="J21" s="70"/>
      <c r="K21" s="70"/>
      <c r="L21" s="70" t="s">
        <v>79</v>
      </c>
      <c r="M21" s="70"/>
      <c r="N21" s="70"/>
      <c r="O21" s="70"/>
      <c r="P21" s="13" t="s">
        <v>49</v>
      </c>
      <c r="Q21" s="13" t="s">
        <v>61</v>
      </c>
      <c r="R21" s="33">
        <v>100</v>
      </c>
      <c r="S21" s="33">
        <v>100</v>
      </c>
      <c r="T21" s="33">
        <v>100</v>
      </c>
      <c r="U21" s="37">
        <f>100</f>
        <v>100</v>
      </c>
    </row>
    <row r="22" spans="1:22" ht="75" customHeight="1" x14ac:dyDescent="0.2">
      <c r="A22" s="11"/>
      <c r="B22" s="14" t="s">
        <v>51</v>
      </c>
      <c r="C22" s="62" t="s">
        <v>80</v>
      </c>
      <c r="D22" s="62"/>
      <c r="E22" s="62"/>
      <c r="F22" s="62"/>
      <c r="G22" s="62"/>
      <c r="H22" s="62"/>
      <c r="I22" s="62" t="s">
        <v>81</v>
      </c>
      <c r="J22" s="62"/>
      <c r="K22" s="62"/>
      <c r="L22" s="62" t="s">
        <v>82</v>
      </c>
      <c r="M22" s="62"/>
      <c r="N22" s="62"/>
      <c r="O22" s="62"/>
      <c r="P22" s="15" t="s">
        <v>49</v>
      </c>
      <c r="Q22" s="15" t="s">
        <v>64</v>
      </c>
      <c r="R22" s="35">
        <v>100</v>
      </c>
      <c r="S22" s="35">
        <v>100</v>
      </c>
      <c r="T22" s="35">
        <v>93.07</v>
      </c>
      <c r="U22" s="38">
        <f>93.07</f>
        <v>93.07</v>
      </c>
    </row>
    <row r="23" spans="1:22" ht="75" customHeight="1" x14ac:dyDescent="0.2">
      <c r="A23" s="11"/>
      <c r="B23" s="14" t="s">
        <v>51</v>
      </c>
      <c r="C23" s="62" t="s">
        <v>83</v>
      </c>
      <c r="D23" s="62"/>
      <c r="E23" s="62"/>
      <c r="F23" s="62"/>
      <c r="G23" s="62"/>
      <c r="H23" s="62"/>
      <c r="I23" s="62" t="s">
        <v>84</v>
      </c>
      <c r="J23" s="62"/>
      <c r="K23" s="62"/>
      <c r="L23" s="62" t="s">
        <v>85</v>
      </c>
      <c r="M23" s="62"/>
      <c r="N23" s="62"/>
      <c r="O23" s="62"/>
      <c r="P23" s="15" t="s">
        <v>49</v>
      </c>
      <c r="Q23" s="15" t="s">
        <v>64</v>
      </c>
      <c r="R23" s="35" t="s">
        <v>44</v>
      </c>
      <c r="S23" s="35">
        <v>100</v>
      </c>
      <c r="T23" s="35">
        <v>101.42</v>
      </c>
      <c r="U23" s="38">
        <f>101.42</f>
        <v>101.42</v>
      </c>
    </row>
    <row r="24" spans="1:22" ht="75" customHeight="1" x14ac:dyDescent="0.2">
      <c r="A24" s="11"/>
      <c r="B24" s="14" t="s">
        <v>51</v>
      </c>
      <c r="C24" s="62" t="s">
        <v>86</v>
      </c>
      <c r="D24" s="62"/>
      <c r="E24" s="62"/>
      <c r="F24" s="62"/>
      <c r="G24" s="62"/>
      <c r="H24" s="62"/>
      <c r="I24" s="62" t="s">
        <v>87</v>
      </c>
      <c r="J24" s="62"/>
      <c r="K24" s="62"/>
      <c r="L24" s="62" t="s">
        <v>88</v>
      </c>
      <c r="M24" s="62"/>
      <c r="N24" s="62"/>
      <c r="O24" s="62"/>
      <c r="P24" s="15" t="s">
        <v>89</v>
      </c>
      <c r="Q24" s="15" t="s">
        <v>90</v>
      </c>
      <c r="R24" s="35" t="s">
        <v>44</v>
      </c>
      <c r="S24" s="35">
        <v>1</v>
      </c>
      <c r="T24" s="35">
        <v>1</v>
      </c>
      <c r="U24" s="38">
        <f>100</f>
        <v>100</v>
      </c>
    </row>
    <row r="25" spans="1:22" ht="101.25" customHeight="1" x14ac:dyDescent="0.2">
      <c r="A25" s="11"/>
      <c r="B25" s="14" t="s">
        <v>51</v>
      </c>
      <c r="C25" s="62" t="s">
        <v>91</v>
      </c>
      <c r="D25" s="62"/>
      <c r="E25" s="62"/>
      <c r="F25" s="62"/>
      <c r="G25" s="62"/>
      <c r="H25" s="62"/>
      <c r="I25" s="62" t="s">
        <v>92</v>
      </c>
      <c r="J25" s="62"/>
      <c r="K25" s="62"/>
      <c r="L25" s="62" t="s">
        <v>93</v>
      </c>
      <c r="M25" s="62"/>
      <c r="N25" s="62"/>
      <c r="O25" s="62"/>
      <c r="P25" s="15" t="s">
        <v>49</v>
      </c>
      <c r="Q25" s="15" t="s">
        <v>94</v>
      </c>
      <c r="R25" s="35">
        <v>81.05</v>
      </c>
      <c r="S25" s="35">
        <v>90</v>
      </c>
      <c r="T25" s="35">
        <v>81.22</v>
      </c>
      <c r="U25" s="38">
        <f>90.24</f>
        <v>90.24</v>
      </c>
    </row>
    <row r="26" spans="1:22" ht="75" customHeight="1" x14ac:dyDescent="0.2">
      <c r="A26" s="11"/>
      <c r="B26" s="14" t="s">
        <v>51</v>
      </c>
      <c r="C26" s="62" t="s">
        <v>51</v>
      </c>
      <c r="D26" s="62"/>
      <c r="E26" s="62"/>
      <c r="F26" s="62"/>
      <c r="G26" s="62"/>
      <c r="H26" s="62"/>
      <c r="I26" s="62" t="s">
        <v>95</v>
      </c>
      <c r="J26" s="62"/>
      <c r="K26" s="62"/>
      <c r="L26" s="62" t="s">
        <v>96</v>
      </c>
      <c r="M26" s="62"/>
      <c r="N26" s="62"/>
      <c r="O26" s="62"/>
      <c r="P26" s="15" t="s">
        <v>49</v>
      </c>
      <c r="Q26" s="15" t="s">
        <v>64</v>
      </c>
      <c r="R26" s="35">
        <v>81</v>
      </c>
      <c r="S26" s="35">
        <v>100</v>
      </c>
      <c r="T26" s="35">
        <v>116</v>
      </c>
      <c r="U26" s="38">
        <f>116</f>
        <v>116</v>
      </c>
    </row>
    <row r="27" spans="1:22" ht="78.75" customHeight="1" x14ac:dyDescent="0.2">
      <c r="A27" s="11"/>
      <c r="B27" s="14" t="s">
        <v>51</v>
      </c>
      <c r="C27" s="62" t="s">
        <v>51</v>
      </c>
      <c r="D27" s="62"/>
      <c r="E27" s="62"/>
      <c r="F27" s="62"/>
      <c r="G27" s="62"/>
      <c r="H27" s="62"/>
      <c r="I27" s="62" t="s">
        <v>97</v>
      </c>
      <c r="J27" s="62"/>
      <c r="K27" s="62"/>
      <c r="L27" s="62" t="s">
        <v>98</v>
      </c>
      <c r="M27" s="62"/>
      <c r="N27" s="62"/>
      <c r="O27" s="62"/>
      <c r="P27" s="15" t="s">
        <v>49</v>
      </c>
      <c r="Q27" s="15" t="s">
        <v>61</v>
      </c>
      <c r="R27" s="35" t="s">
        <v>44</v>
      </c>
      <c r="S27" s="35">
        <v>73.17</v>
      </c>
      <c r="T27" s="35">
        <v>62.51</v>
      </c>
      <c r="U27" s="38">
        <f>85.43</f>
        <v>85.43</v>
      </c>
    </row>
    <row r="28" spans="1:22" ht="75" customHeight="1" x14ac:dyDescent="0.2">
      <c r="A28" s="11"/>
      <c r="B28" s="14" t="s">
        <v>51</v>
      </c>
      <c r="C28" s="62" t="s">
        <v>51</v>
      </c>
      <c r="D28" s="62"/>
      <c r="E28" s="62"/>
      <c r="F28" s="62"/>
      <c r="G28" s="62"/>
      <c r="H28" s="62"/>
      <c r="I28" s="62" t="s">
        <v>99</v>
      </c>
      <c r="J28" s="62"/>
      <c r="K28" s="62"/>
      <c r="L28" s="62" t="s">
        <v>100</v>
      </c>
      <c r="M28" s="62"/>
      <c r="N28" s="62"/>
      <c r="O28" s="62"/>
      <c r="P28" s="15" t="s">
        <v>49</v>
      </c>
      <c r="Q28" s="15" t="s">
        <v>64</v>
      </c>
      <c r="R28" s="35" t="s">
        <v>44</v>
      </c>
      <c r="S28" s="35">
        <v>100</v>
      </c>
      <c r="T28" s="35">
        <v>126</v>
      </c>
      <c r="U28" s="38">
        <f>126</f>
        <v>126</v>
      </c>
    </row>
    <row r="29" spans="1:22" ht="81" customHeight="1" x14ac:dyDescent="0.2">
      <c r="A29" s="11"/>
      <c r="B29" s="14" t="s">
        <v>51</v>
      </c>
      <c r="C29" s="62" t="s">
        <v>101</v>
      </c>
      <c r="D29" s="62"/>
      <c r="E29" s="62"/>
      <c r="F29" s="62"/>
      <c r="G29" s="62"/>
      <c r="H29" s="62"/>
      <c r="I29" s="62" t="s">
        <v>102</v>
      </c>
      <c r="J29" s="62"/>
      <c r="K29" s="62"/>
      <c r="L29" s="62" t="s">
        <v>103</v>
      </c>
      <c r="M29" s="62"/>
      <c r="N29" s="62"/>
      <c r="O29" s="62"/>
      <c r="P29" s="15" t="s">
        <v>49</v>
      </c>
      <c r="Q29" s="15" t="s">
        <v>104</v>
      </c>
      <c r="R29" s="35">
        <v>95</v>
      </c>
      <c r="S29" s="35">
        <v>90</v>
      </c>
      <c r="T29" s="35">
        <v>85</v>
      </c>
      <c r="U29" s="38">
        <f>94.44</f>
        <v>94.44</v>
      </c>
    </row>
    <row r="30" spans="1:22" ht="88.5" customHeight="1" thickBot="1" x14ac:dyDescent="0.25">
      <c r="A30" s="11"/>
      <c r="B30" s="14" t="s">
        <v>51</v>
      </c>
      <c r="C30" s="62" t="s">
        <v>105</v>
      </c>
      <c r="D30" s="62"/>
      <c r="E30" s="62"/>
      <c r="F30" s="62"/>
      <c r="G30" s="62"/>
      <c r="H30" s="62"/>
      <c r="I30" s="62" t="s">
        <v>106</v>
      </c>
      <c r="J30" s="62"/>
      <c r="K30" s="62"/>
      <c r="L30" s="62" t="s">
        <v>107</v>
      </c>
      <c r="M30" s="62"/>
      <c r="N30" s="62"/>
      <c r="O30" s="62"/>
      <c r="P30" s="15" t="s">
        <v>49</v>
      </c>
      <c r="Q30" s="15" t="s">
        <v>61</v>
      </c>
      <c r="R30" s="35">
        <v>30</v>
      </c>
      <c r="S30" s="35">
        <v>30</v>
      </c>
      <c r="T30" s="35">
        <v>52.34</v>
      </c>
      <c r="U30" s="38">
        <f>174.46</f>
        <v>174.46</v>
      </c>
    </row>
    <row r="31" spans="1:22" ht="14.25" customHeight="1" thickTop="1" thickBot="1" x14ac:dyDescent="0.25">
      <c r="B31" s="4" t="s">
        <v>108</v>
      </c>
      <c r="C31" s="5"/>
      <c r="D31" s="5"/>
      <c r="E31" s="5"/>
      <c r="F31" s="5"/>
      <c r="G31" s="5"/>
      <c r="H31" s="6"/>
      <c r="I31" s="6"/>
      <c r="J31" s="6"/>
      <c r="K31" s="6"/>
      <c r="L31" s="6"/>
      <c r="M31" s="6"/>
      <c r="N31" s="6"/>
      <c r="O31" s="6"/>
      <c r="P31" s="6"/>
      <c r="Q31" s="6"/>
      <c r="R31" s="6"/>
      <c r="S31" s="6"/>
      <c r="T31" s="6"/>
      <c r="U31" s="7"/>
      <c r="V31" s="16"/>
    </row>
    <row r="32" spans="1:22" ht="26.25" customHeight="1" thickTop="1" x14ac:dyDescent="0.2">
      <c r="B32" s="17"/>
      <c r="C32" s="18"/>
      <c r="D32" s="18"/>
      <c r="E32" s="18"/>
      <c r="F32" s="18"/>
      <c r="G32" s="18"/>
      <c r="H32" s="19"/>
      <c r="I32" s="19"/>
      <c r="J32" s="19"/>
      <c r="K32" s="19"/>
      <c r="L32" s="19"/>
      <c r="M32" s="19"/>
      <c r="N32" s="19"/>
      <c r="O32" s="19"/>
      <c r="P32" s="19"/>
      <c r="Q32" s="19"/>
      <c r="R32" s="20"/>
      <c r="S32" s="21" t="s">
        <v>33</v>
      </c>
      <c r="T32" s="21" t="s">
        <v>109</v>
      </c>
      <c r="U32" s="8" t="s">
        <v>110</v>
      </c>
    </row>
    <row r="33" spans="2:21" ht="36.75" customHeight="1" thickBot="1" x14ac:dyDescent="0.25">
      <c r="B33" s="22"/>
      <c r="C33" s="23"/>
      <c r="D33" s="23"/>
      <c r="E33" s="23"/>
      <c r="F33" s="23"/>
      <c r="G33" s="23"/>
      <c r="H33" s="24"/>
      <c r="I33" s="24"/>
      <c r="J33" s="24"/>
      <c r="K33" s="24"/>
      <c r="L33" s="24"/>
      <c r="M33" s="24"/>
      <c r="N33" s="24"/>
      <c r="O33" s="24"/>
      <c r="P33" s="24"/>
      <c r="Q33" s="24"/>
      <c r="R33" s="24"/>
      <c r="S33" s="25" t="s">
        <v>111</v>
      </c>
      <c r="T33" s="26" t="s">
        <v>111</v>
      </c>
      <c r="U33" s="26" t="s">
        <v>112</v>
      </c>
    </row>
    <row r="34" spans="2:21" ht="19.5" customHeight="1" thickBot="1" x14ac:dyDescent="0.25">
      <c r="B34" s="63" t="s">
        <v>113</v>
      </c>
      <c r="C34" s="64"/>
      <c r="D34" s="64"/>
      <c r="E34" s="27"/>
      <c r="F34" s="27"/>
      <c r="G34" s="27"/>
      <c r="H34" s="28"/>
      <c r="I34" s="28"/>
      <c r="J34" s="28"/>
      <c r="K34" s="28"/>
      <c r="L34" s="28"/>
      <c r="M34" s="28"/>
      <c r="N34" s="28"/>
      <c r="O34" s="28"/>
      <c r="P34" s="29"/>
      <c r="Q34" s="29"/>
      <c r="R34" s="29"/>
      <c r="S34" s="50">
        <v>18250</v>
      </c>
      <c r="T34" s="50">
        <v>15822.890194410003</v>
      </c>
      <c r="U34" s="51">
        <f>+IF(ISERR(T34/S34*100),"N/A",ROUND(T34/S34*100,1))</f>
        <v>86.7</v>
      </c>
    </row>
    <row r="35" spans="2:21" ht="19.5" customHeight="1" thickBot="1" x14ac:dyDescent="0.25">
      <c r="B35" s="65" t="s">
        <v>114</v>
      </c>
      <c r="C35" s="66"/>
      <c r="D35" s="66"/>
      <c r="E35" s="30"/>
      <c r="F35" s="30"/>
      <c r="G35" s="30"/>
      <c r="H35" s="31"/>
      <c r="I35" s="31"/>
      <c r="J35" s="31"/>
      <c r="K35" s="31"/>
      <c r="L35" s="31"/>
      <c r="M35" s="31"/>
      <c r="N35" s="31"/>
      <c r="O35" s="31"/>
      <c r="P35" s="32"/>
      <c r="Q35" s="32"/>
      <c r="R35" s="32"/>
      <c r="S35" s="50">
        <v>15822.903111420001</v>
      </c>
      <c r="T35" s="50">
        <v>15822.890194410003</v>
      </c>
      <c r="U35" s="51">
        <f>+IF(ISERR(T35/S35*100),"N/A",ROUND(T35/S35*100,1))</f>
        <v>100</v>
      </c>
    </row>
    <row r="36" spans="2:21" ht="14.85" customHeight="1" thickTop="1" thickBot="1" x14ac:dyDescent="0.25">
      <c r="B36" s="4" t="s">
        <v>115</v>
      </c>
      <c r="C36" s="5"/>
      <c r="D36" s="5"/>
      <c r="E36" s="5"/>
      <c r="F36" s="5"/>
      <c r="G36" s="5"/>
      <c r="H36" s="6"/>
      <c r="I36" s="6"/>
      <c r="J36" s="6"/>
      <c r="K36" s="6"/>
      <c r="L36" s="6"/>
      <c r="M36" s="6"/>
      <c r="N36" s="6"/>
      <c r="O36" s="6"/>
      <c r="P36" s="6"/>
      <c r="Q36" s="6"/>
      <c r="R36" s="6"/>
      <c r="S36" s="6"/>
      <c r="T36" s="6"/>
      <c r="U36" s="7"/>
    </row>
    <row r="37" spans="2:21" ht="44.25" customHeight="1" thickTop="1" x14ac:dyDescent="0.2">
      <c r="B37" s="67" t="s">
        <v>116</v>
      </c>
      <c r="C37" s="68"/>
      <c r="D37" s="68"/>
      <c r="E37" s="68"/>
      <c r="F37" s="68"/>
      <c r="G37" s="68"/>
      <c r="H37" s="68"/>
      <c r="I37" s="68"/>
      <c r="J37" s="68"/>
      <c r="K37" s="68"/>
      <c r="L37" s="68"/>
      <c r="M37" s="68"/>
      <c r="N37" s="68"/>
      <c r="O37" s="68"/>
      <c r="P37" s="68"/>
      <c r="Q37" s="68"/>
      <c r="R37" s="68"/>
      <c r="S37" s="68"/>
      <c r="T37" s="68"/>
      <c r="U37" s="69"/>
    </row>
    <row r="38" spans="2:21" ht="34.5" customHeight="1" x14ac:dyDescent="0.2">
      <c r="B38" s="56" t="s">
        <v>117</v>
      </c>
      <c r="C38" s="57"/>
      <c r="D38" s="57"/>
      <c r="E38" s="57"/>
      <c r="F38" s="57"/>
      <c r="G38" s="57"/>
      <c r="H38" s="57"/>
      <c r="I38" s="57"/>
      <c r="J38" s="57"/>
      <c r="K38" s="57"/>
      <c r="L38" s="57"/>
      <c r="M38" s="57"/>
      <c r="N38" s="57"/>
      <c r="O38" s="57"/>
      <c r="P38" s="57"/>
      <c r="Q38" s="57"/>
      <c r="R38" s="57"/>
      <c r="S38" s="57"/>
      <c r="T38" s="57"/>
      <c r="U38" s="58"/>
    </row>
    <row r="39" spans="2:21" ht="69" customHeight="1" x14ac:dyDescent="0.2">
      <c r="B39" s="56" t="s">
        <v>118</v>
      </c>
      <c r="C39" s="57"/>
      <c r="D39" s="57"/>
      <c r="E39" s="57"/>
      <c r="F39" s="57"/>
      <c r="G39" s="57"/>
      <c r="H39" s="57"/>
      <c r="I39" s="57"/>
      <c r="J39" s="57"/>
      <c r="K39" s="57"/>
      <c r="L39" s="57"/>
      <c r="M39" s="57"/>
      <c r="N39" s="57"/>
      <c r="O39" s="57"/>
      <c r="P39" s="57"/>
      <c r="Q39" s="57"/>
      <c r="R39" s="57"/>
      <c r="S39" s="57"/>
      <c r="T39" s="57"/>
      <c r="U39" s="58"/>
    </row>
    <row r="40" spans="2:21" ht="76.5" customHeight="1" x14ac:dyDescent="0.2">
      <c r="B40" s="56" t="s">
        <v>119</v>
      </c>
      <c r="C40" s="57"/>
      <c r="D40" s="57"/>
      <c r="E40" s="57"/>
      <c r="F40" s="57"/>
      <c r="G40" s="57"/>
      <c r="H40" s="57"/>
      <c r="I40" s="57"/>
      <c r="J40" s="57"/>
      <c r="K40" s="57"/>
      <c r="L40" s="57"/>
      <c r="M40" s="57"/>
      <c r="N40" s="57"/>
      <c r="O40" s="57"/>
      <c r="P40" s="57"/>
      <c r="Q40" s="57"/>
      <c r="R40" s="57"/>
      <c r="S40" s="57"/>
      <c r="T40" s="57"/>
      <c r="U40" s="58"/>
    </row>
    <row r="41" spans="2:21" ht="76.5" customHeight="1" x14ac:dyDescent="0.2">
      <c r="B41" s="56" t="s">
        <v>120</v>
      </c>
      <c r="C41" s="57"/>
      <c r="D41" s="57"/>
      <c r="E41" s="57"/>
      <c r="F41" s="57"/>
      <c r="G41" s="57"/>
      <c r="H41" s="57"/>
      <c r="I41" s="57"/>
      <c r="J41" s="57"/>
      <c r="K41" s="57"/>
      <c r="L41" s="57"/>
      <c r="M41" s="57"/>
      <c r="N41" s="57"/>
      <c r="O41" s="57"/>
      <c r="P41" s="57"/>
      <c r="Q41" s="57"/>
      <c r="R41" s="57"/>
      <c r="S41" s="57"/>
      <c r="T41" s="57"/>
      <c r="U41" s="58"/>
    </row>
    <row r="42" spans="2:21" ht="76.5" customHeight="1" x14ac:dyDescent="0.2">
      <c r="B42" s="56" t="s">
        <v>121</v>
      </c>
      <c r="C42" s="57"/>
      <c r="D42" s="57"/>
      <c r="E42" s="57"/>
      <c r="F42" s="57"/>
      <c r="G42" s="57"/>
      <c r="H42" s="57"/>
      <c r="I42" s="57"/>
      <c r="J42" s="57"/>
      <c r="K42" s="57"/>
      <c r="L42" s="57"/>
      <c r="M42" s="57"/>
      <c r="N42" s="57"/>
      <c r="O42" s="57"/>
      <c r="P42" s="57"/>
      <c r="Q42" s="57"/>
      <c r="R42" s="57"/>
      <c r="S42" s="57"/>
      <c r="T42" s="57"/>
      <c r="U42" s="58"/>
    </row>
    <row r="43" spans="2:21" ht="76.5" customHeight="1" x14ac:dyDescent="0.2">
      <c r="B43" s="56" t="s">
        <v>122</v>
      </c>
      <c r="C43" s="57"/>
      <c r="D43" s="57"/>
      <c r="E43" s="57"/>
      <c r="F43" s="57"/>
      <c r="G43" s="57"/>
      <c r="H43" s="57"/>
      <c r="I43" s="57"/>
      <c r="J43" s="57"/>
      <c r="K43" s="57"/>
      <c r="L43" s="57"/>
      <c r="M43" s="57"/>
      <c r="N43" s="57"/>
      <c r="O43" s="57"/>
      <c r="P43" s="57"/>
      <c r="Q43" s="57"/>
      <c r="R43" s="57"/>
      <c r="S43" s="57"/>
      <c r="T43" s="57"/>
      <c r="U43" s="58"/>
    </row>
    <row r="44" spans="2:21" ht="76.5" customHeight="1" x14ac:dyDescent="0.2">
      <c r="B44" s="56" t="s">
        <v>123</v>
      </c>
      <c r="C44" s="57"/>
      <c r="D44" s="57"/>
      <c r="E44" s="57"/>
      <c r="F44" s="57"/>
      <c r="G44" s="57"/>
      <c r="H44" s="57"/>
      <c r="I44" s="57"/>
      <c r="J44" s="57"/>
      <c r="K44" s="57"/>
      <c r="L44" s="57"/>
      <c r="M44" s="57"/>
      <c r="N44" s="57"/>
      <c r="O44" s="57"/>
      <c r="P44" s="57"/>
      <c r="Q44" s="57"/>
      <c r="R44" s="57"/>
      <c r="S44" s="57"/>
      <c r="T44" s="57"/>
      <c r="U44" s="58"/>
    </row>
    <row r="45" spans="2:21" ht="76.5" customHeight="1" x14ac:dyDescent="0.2">
      <c r="B45" s="56" t="s">
        <v>124</v>
      </c>
      <c r="C45" s="57"/>
      <c r="D45" s="57"/>
      <c r="E45" s="57"/>
      <c r="F45" s="57"/>
      <c r="G45" s="57"/>
      <c r="H45" s="57"/>
      <c r="I45" s="57"/>
      <c r="J45" s="57"/>
      <c r="K45" s="57"/>
      <c r="L45" s="57"/>
      <c r="M45" s="57"/>
      <c r="N45" s="57"/>
      <c r="O45" s="57"/>
      <c r="P45" s="57"/>
      <c r="Q45" s="57"/>
      <c r="R45" s="57"/>
      <c r="S45" s="57"/>
      <c r="T45" s="57"/>
      <c r="U45" s="58"/>
    </row>
    <row r="46" spans="2:21" ht="76.5" customHeight="1" x14ac:dyDescent="0.2">
      <c r="B46" s="56" t="s">
        <v>125</v>
      </c>
      <c r="C46" s="57"/>
      <c r="D46" s="57"/>
      <c r="E46" s="57"/>
      <c r="F46" s="57"/>
      <c r="G46" s="57"/>
      <c r="H46" s="57"/>
      <c r="I46" s="57"/>
      <c r="J46" s="57"/>
      <c r="K46" s="57"/>
      <c r="L46" s="57"/>
      <c r="M46" s="57"/>
      <c r="N46" s="57"/>
      <c r="O46" s="57"/>
      <c r="P46" s="57"/>
      <c r="Q46" s="57"/>
      <c r="R46" s="57"/>
      <c r="S46" s="57"/>
      <c r="T46" s="57"/>
      <c r="U46" s="58"/>
    </row>
    <row r="47" spans="2:21" ht="76.5" customHeight="1" x14ac:dyDescent="0.2">
      <c r="B47" s="56" t="s">
        <v>126</v>
      </c>
      <c r="C47" s="57"/>
      <c r="D47" s="57"/>
      <c r="E47" s="57"/>
      <c r="F47" s="57"/>
      <c r="G47" s="57"/>
      <c r="H47" s="57"/>
      <c r="I47" s="57"/>
      <c r="J47" s="57"/>
      <c r="K47" s="57"/>
      <c r="L47" s="57"/>
      <c r="M47" s="57"/>
      <c r="N47" s="57"/>
      <c r="O47" s="57"/>
      <c r="P47" s="57"/>
      <c r="Q47" s="57"/>
      <c r="R47" s="57"/>
      <c r="S47" s="57"/>
      <c r="T47" s="57"/>
      <c r="U47" s="58"/>
    </row>
    <row r="48" spans="2:21" ht="76.5" customHeight="1" x14ac:dyDescent="0.2">
      <c r="B48" s="56" t="s">
        <v>127</v>
      </c>
      <c r="C48" s="57"/>
      <c r="D48" s="57"/>
      <c r="E48" s="57"/>
      <c r="F48" s="57"/>
      <c r="G48" s="57"/>
      <c r="H48" s="57"/>
      <c r="I48" s="57"/>
      <c r="J48" s="57"/>
      <c r="K48" s="57"/>
      <c r="L48" s="57"/>
      <c r="M48" s="57"/>
      <c r="N48" s="57"/>
      <c r="O48" s="57"/>
      <c r="P48" s="57"/>
      <c r="Q48" s="57"/>
      <c r="R48" s="57"/>
      <c r="S48" s="57"/>
      <c r="T48" s="57"/>
      <c r="U48" s="58"/>
    </row>
    <row r="49" spans="2:21" ht="76.5" customHeight="1" x14ac:dyDescent="0.2">
      <c r="B49" s="56" t="s">
        <v>128</v>
      </c>
      <c r="C49" s="57"/>
      <c r="D49" s="57"/>
      <c r="E49" s="57"/>
      <c r="F49" s="57"/>
      <c r="G49" s="57"/>
      <c r="H49" s="57"/>
      <c r="I49" s="57"/>
      <c r="J49" s="57"/>
      <c r="K49" s="57"/>
      <c r="L49" s="57"/>
      <c r="M49" s="57"/>
      <c r="N49" s="57"/>
      <c r="O49" s="57"/>
      <c r="P49" s="57"/>
      <c r="Q49" s="57"/>
      <c r="R49" s="57"/>
      <c r="S49" s="57"/>
      <c r="T49" s="57"/>
      <c r="U49" s="58"/>
    </row>
    <row r="50" spans="2:21" ht="76.5" customHeight="1" x14ac:dyDescent="0.2">
      <c r="B50" s="56" t="s">
        <v>129</v>
      </c>
      <c r="C50" s="57"/>
      <c r="D50" s="57"/>
      <c r="E50" s="57"/>
      <c r="F50" s="57"/>
      <c r="G50" s="57"/>
      <c r="H50" s="57"/>
      <c r="I50" s="57"/>
      <c r="J50" s="57"/>
      <c r="K50" s="57"/>
      <c r="L50" s="57"/>
      <c r="M50" s="57"/>
      <c r="N50" s="57"/>
      <c r="O50" s="57"/>
      <c r="P50" s="57"/>
      <c r="Q50" s="57"/>
      <c r="R50" s="57"/>
      <c r="S50" s="57"/>
      <c r="T50" s="57"/>
      <c r="U50" s="58"/>
    </row>
    <row r="51" spans="2:21" ht="76.5" customHeight="1" x14ac:dyDescent="0.2">
      <c r="B51" s="56" t="s">
        <v>130</v>
      </c>
      <c r="C51" s="57"/>
      <c r="D51" s="57"/>
      <c r="E51" s="57"/>
      <c r="F51" s="57"/>
      <c r="G51" s="57"/>
      <c r="H51" s="57"/>
      <c r="I51" s="57"/>
      <c r="J51" s="57"/>
      <c r="K51" s="57"/>
      <c r="L51" s="57"/>
      <c r="M51" s="57"/>
      <c r="N51" s="57"/>
      <c r="O51" s="57"/>
      <c r="P51" s="57"/>
      <c r="Q51" s="57"/>
      <c r="R51" s="57"/>
      <c r="S51" s="57"/>
      <c r="T51" s="57"/>
      <c r="U51" s="58"/>
    </row>
    <row r="52" spans="2:21" ht="76.5" customHeight="1" x14ac:dyDescent="0.2">
      <c r="B52" s="56" t="s">
        <v>131</v>
      </c>
      <c r="C52" s="57"/>
      <c r="D52" s="57"/>
      <c r="E52" s="57"/>
      <c r="F52" s="57"/>
      <c r="G52" s="57"/>
      <c r="H52" s="57"/>
      <c r="I52" s="57"/>
      <c r="J52" s="57"/>
      <c r="K52" s="57"/>
      <c r="L52" s="57"/>
      <c r="M52" s="57"/>
      <c r="N52" s="57"/>
      <c r="O52" s="57"/>
      <c r="P52" s="57"/>
      <c r="Q52" s="57"/>
      <c r="R52" s="57"/>
      <c r="S52" s="57"/>
      <c r="T52" s="57"/>
      <c r="U52" s="58"/>
    </row>
    <row r="53" spans="2:21" ht="76.5" customHeight="1" x14ac:dyDescent="0.2">
      <c r="B53" s="56" t="s">
        <v>132</v>
      </c>
      <c r="C53" s="57"/>
      <c r="D53" s="57"/>
      <c r="E53" s="57"/>
      <c r="F53" s="57"/>
      <c r="G53" s="57"/>
      <c r="H53" s="57"/>
      <c r="I53" s="57"/>
      <c r="J53" s="57"/>
      <c r="K53" s="57"/>
      <c r="L53" s="57"/>
      <c r="M53" s="57"/>
      <c r="N53" s="57"/>
      <c r="O53" s="57"/>
      <c r="P53" s="57"/>
      <c r="Q53" s="57"/>
      <c r="R53" s="57"/>
      <c r="S53" s="57"/>
      <c r="T53" s="57"/>
      <c r="U53" s="58"/>
    </row>
    <row r="54" spans="2:21" ht="76.5" customHeight="1" x14ac:dyDescent="0.2">
      <c r="B54" s="56" t="s">
        <v>133</v>
      </c>
      <c r="C54" s="57"/>
      <c r="D54" s="57"/>
      <c r="E54" s="57"/>
      <c r="F54" s="57"/>
      <c r="G54" s="57"/>
      <c r="H54" s="57"/>
      <c r="I54" s="57"/>
      <c r="J54" s="57"/>
      <c r="K54" s="57"/>
      <c r="L54" s="57"/>
      <c r="M54" s="57"/>
      <c r="N54" s="57"/>
      <c r="O54" s="57"/>
      <c r="P54" s="57"/>
      <c r="Q54" s="57"/>
      <c r="R54" s="57"/>
      <c r="S54" s="57"/>
      <c r="T54" s="57"/>
      <c r="U54" s="58"/>
    </row>
    <row r="55" spans="2:21" ht="76.5" customHeight="1" x14ac:dyDescent="0.2">
      <c r="B55" s="56" t="s">
        <v>134</v>
      </c>
      <c r="C55" s="57"/>
      <c r="D55" s="57"/>
      <c r="E55" s="57"/>
      <c r="F55" s="57"/>
      <c r="G55" s="57"/>
      <c r="H55" s="57"/>
      <c r="I55" s="57"/>
      <c r="J55" s="57"/>
      <c r="K55" s="57"/>
      <c r="L55" s="57"/>
      <c r="M55" s="57"/>
      <c r="N55" s="57"/>
      <c r="O55" s="57"/>
      <c r="P55" s="57"/>
      <c r="Q55" s="57"/>
      <c r="R55" s="57"/>
      <c r="S55" s="57"/>
      <c r="T55" s="57"/>
      <c r="U55" s="58"/>
    </row>
    <row r="56" spans="2:21" ht="76.5" customHeight="1" x14ac:dyDescent="0.2">
      <c r="B56" s="56" t="s">
        <v>135</v>
      </c>
      <c r="C56" s="57"/>
      <c r="D56" s="57"/>
      <c r="E56" s="57"/>
      <c r="F56" s="57"/>
      <c r="G56" s="57"/>
      <c r="H56" s="57"/>
      <c r="I56" s="57"/>
      <c r="J56" s="57"/>
      <c r="K56" s="57"/>
      <c r="L56" s="57"/>
      <c r="M56" s="57"/>
      <c r="N56" s="57"/>
      <c r="O56" s="57"/>
      <c r="P56" s="57"/>
      <c r="Q56" s="57"/>
      <c r="R56" s="57"/>
      <c r="S56" s="57"/>
      <c r="T56" s="57"/>
      <c r="U56" s="58"/>
    </row>
    <row r="57" spans="2:21" ht="76.5" customHeight="1" thickBot="1" x14ac:dyDescent="0.25">
      <c r="B57" s="59" t="s">
        <v>136</v>
      </c>
      <c r="C57" s="60"/>
      <c r="D57" s="60"/>
      <c r="E57" s="60"/>
      <c r="F57" s="60"/>
      <c r="G57" s="60"/>
      <c r="H57" s="60"/>
      <c r="I57" s="60"/>
      <c r="J57" s="60"/>
      <c r="K57" s="60"/>
      <c r="L57" s="60"/>
      <c r="M57" s="60"/>
      <c r="N57" s="60"/>
      <c r="O57" s="60"/>
      <c r="P57" s="60"/>
      <c r="Q57" s="60"/>
      <c r="R57" s="60"/>
      <c r="S57" s="60"/>
      <c r="T57" s="60"/>
      <c r="U57" s="61"/>
    </row>
  </sheetData>
  <mergeCells count="104">
    <mergeCell ref="B8:B10"/>
    <mergeCell ref="C8:H10"/>
    <mergeCell ref="I8:S8"/>
    <mergeCell ref="T8:U8"/>
    <mergeCell ref="I9:K10"/>
    <mergeCell ref="L9:O10"/>
    <mergeCell ref="B1:L1"/>
    <mergeCell ref="D4:H4"/>
    <mergeCell ref="L4:O4"/>
    <mergeCell ref="Q4:R4"/>
    <mergeCell ref="T4:U4"/>
    <mergeCell ref="B5:U5"/>
    <mergeCell ref="T9:T10"/>
    <mergeCell ref="U9:U10"/>
    <mergeCell ref="C6:G6"/>
    <mergeCell ref="K6:M6"/>
    <mergeCell ref="P6:Q6"/>
    <mergeCell ref="T6:U6"/>
    <mergeCell ref="C13:H13"/>
    <mergeCell ref="I13:K13"/>
    <mergeCell ref="L13:O13"/>
    <mergeCell ref="P9:P10"/>
    <mergeCell ref="Q9:Q10"/>
    <mergeCell ref="R9:S9"/>
    <mergeCell ref="C16:H16"/>
    <mergeCell ref="I16:K16"/>
    <mergeCell ref="L16:O16"/>
    <mergeCell ref="C11:H11"/>
    <mergeCell ref="I11:K11"/>
    <mergeCell ref="L11:O11"/>
    <mergeCell ref="C12:H12"/>
    <mergeCell ref="I12:K12"/>
    <mergeCell ref="L12:O12"/>
    <mergeCell ref="C17:H17"/>
    <mergeCell ref="I17:K17"/>
    <mergeCell ref="L17:O17"/>
    <mergeCell ref="C14:H14"/>
    <mergeCell ref="I14:K14"/>
    <mergeCell ref="L14:O14"/>
    <mergeCell ref="C15:H15"/>
    <mergeCell ref="I15:K15"/>
    <mergeCell ref="L15:O15"/>
    <mergeCell ref="C20:H20"/>
    <mergeCell ref="I20:K20"/>
    <mergeCell ref="L20:O20"/>
    <mergeCell ref="C21:H21"/>
    <mergeCell ref="I21:K21"/>
    <mergeCell ref="L21:O21"/>
    <mergeCell ref="C18:H18"/>
    <mergeCell ref="I18:K18"/>
    <mergeCell ref="L18:O18"/>
    <mergeCell ref="C19:H19"/>
    <mergeCell ref="I19:K19"/>
    <mergeCell ref="L19:O19"/>
    <mergeCell ref="C24:H24"/>
    <mergeCell ref="I24:K24"/>
    <mergeCell ref="L24:O24"/>
    <mergeCell ref="C25:H25"/>
    <mergeCell ref="I25:K25"/>
    <mergeCell ref="L25:O25"/>
    <mergeCell ref="C22:H22"/>
    <mergeCell ref="I22:K22"/>
    <mergeCell ref="L22:O22"/>
    <mergeCell ref="C23:H23"/>
    <mergeCell ref="I23:K23"/>
    <mergeCell ref="L23:O23"/>
    <mergeCell ref="C28:H28"/>
    <mergeCell ref="I28:K28"/>
    <mergeCell ref="L28:O28"/>
    <mergeCell ref="C29:H29"/>
    <mergeCell ref="I29:K29"/>
    <mergeCell ref="L29:O29"/>
    <mergeCell ref="C26:H26"/>
    <mergeCell ref="I26:K26"/>
    <mergeCell ref="L26:O26"/>
    <mergeCell ref="C27:H27"/>
    <mergeCell ref="I27:K27"/>
    <mergeCell ref="L27:O27"/>
    <mergeCell ref="B38:U38"/>
    <mergeCell ref="B39:U39"/>
    <mergeCell ref="B40:U40"/>
    <mergeCell ref="B41:U41"/>
    <mergeCell ref="B42:U42"/>
    <mergeCell ref="B43:U43"/>
    <mergeCell ref="C30:H30"/>
    <mergeCell ref="I30:K30"/>
    <mergeCell ref="L30:O30"/>
    <mergeCell ref="B34:D34"/>
    <mergeCell ref="B35:D35"/>
    <mergeCell ref="B37:U37"/>
    <mergeCell ref="B56:U56"/>
    <mergeCell ref="B57:U57"/>
    <mergeCell ref="B50:U50"/>
    <mergeCell ref="B51:U51"/>
    <mergeCell ref="B52:U52"/>
    <mergeCell ref="B53:U53"/>
    <mergeCell ref="B54:U54"/>
    <mergeCell ref="B55:U55"/>
    <mergeCell ref="B44:U44"/>
    <mergeCell ref="B45:U45"/>
    <mergeCell ref="B46:U46"/>
    <mergeCell ref="B47:U47"/>
    <mergeCell ref="B48:U48"/>
    <mergeCell ref="B49:U49"/>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84"/>
  <sheetViews>
    <sheetView topLeftCell="L46" zoomScale="80" zoomScaleNormal="80" zoomScaleSheetLayoutView="80" workbookViewId="0">
      <selection activeCell="S34" sqref="S34:U35"/>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3" style="1" customWidth="1"/>
    <col min="20" max="20" width="10.75" style="1" customWidth="1"/>
    <col min="21" max="21" width="11.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2" t="s">
        <v>0</v>
      </c>
      <c r="C1" s="52"/>
      <c r="D1" s="52"/>
      <c r="E1" s="52"/>
      <c r="F1" s="52"/>
      <c r="G1" s="52"/>
      <c r="H1" s="52"/>
      <c r="I1" s="52"/>
      <c r="J1" s="52"/>
      <c r="K1" s="52"/>
      <c r="L1" s="52"/>
      <c r="M1" s="3" t="s">
        <v>1</v>
      </c>
    </row>
    <row r="2" spans="1:21" ht="13.5" customHeight="1" thickBot="1" x14ac:dyDescent="0.25"/>
    <row r="3" spans="1:21" ht="20.25" customHeight="1" thickTop="1" thickBot="1" x14ac:dyDescent="0.25">
      <c r="B3" s="4" t="s">
        <v>5</v>
      </c>
      <c r="C3" s="5"/>
      <c r="D3" s="5"/>
      <c r="E3" s="5"/>
      <c r="F3" s="5"/>
      <c r="G3" s="5"/>
      <c r="H3" s="6"/>
      <c r="I3" s="6"/>
      <c r="J3" s="6"/>
      <c r="K3" s="6"/>
      <c r="L3" s="6"/>
      <c r="M3" s="6"/>
      <c r="N3" s="6"/>
      <c r="O3" s="6"/>
      <c r="P3" s="6"/>
      <c r="Q3" s="6"/>
      <c r="R3" s="6"/>
      <c r="S3" s="6"/>
      <c r="T3" s="6"/>
      <c r="U3" s="7"/>
    </row>
    <row r="4" spans="1:21" ht="69" customHeight="1" thickTop="1" x14ac:dyDescent="0.2">
      <c r="B4" s="39" t="s">
        <v>6</v>
      </c>
      <c r="C4" s="40" t="s">
        <v>137</v>
      </c>
      <c r="D4" s="90" t="s">
        <v>138</v>
      </c>
      <c r="E4" s="90"/>
      <c r="F4" s="90"/>
      <c r="G4" s="90"/>
      <c r="H4" s="90"/>
      <c r="I4" s="41"/>
      <c r="J4" s="42" t="s">
        <v>9</v>
      </c>
      <c r="K4" s="43" t="s">
        <v>10</v>
      </c>
      <c r="L4" s="91" t="s">
        <v>11</v>
      </c>
      <c r="M4" s="91"/>
      <c r="N4" s="91"/>
      <c r="O4" s="91"/>
      <c r="P4" s="42" t="s">
        <v>12</v>
      </c>
      <c r="Q4" s="91" t="s">
        <v>13</v>
      </c>
      <c r="R4" s="91"/>
      <c r="S4" s="42" t="s">
        <v>14</v>
      </c>
      <c r="T4" s="91"/>
      <c r="U4" s="92"/>
    </row>
    <row r="5" spans="1:21" ht="15.75" customHeight="1" x14ac:dyDescent="0.2">
      <c r="B5" s="93" t="s">
        <v>15</v>
      </c>
      <c r="C5" s="94"/>
      <c r="D5" s="94"/>
      <c r="E5" s="94"/>
      <c r="F5" s="94"/>
      <c r="G5" s="94"/>
      <c r="H5" s="94"/>
      <c r="I5" s="94"/>
      <c r="J5" s="94"/>
      <c r="K5" s="94"/>
      <c r="L5" s="94"/>
      <c r="M5" s="94"/>
      <c r="N5" s="94"/>
      <c r="O5" s="94"/>
      <c r="P5" s="94"/>
      <c r="Q5" s="94"/>
      <c r="R5" s="94"/>
      <c r="S5" s="94"/>
      <c r="T5" s="94"/>
      <c r="U5" s="95"/>
    </row>
    <row r="6" spans="1:21" ht="57.75" customHeight="1" thickBot="1" x14ac:dyDescent="0.25">
      <c r="B6" s="44" t="s">
        <v>16</v>
      </c>
      <c r="C6" s="98" t="s">
        <v>17</v>
      </c>
      <c r="D6" s="98"/>
      <c r="E6" s="98"/>
      <c r="F6" s="98"/>
      <c r="G6" s="98"/>
      <c r="H6" s="45"/>
      <c r="I6" s="45"/>
      <c r="J6" s="45" t="s">
        <v>18</v>
      </c>
      <c r="K6" s="98" t="s">
        <v>19</v>
      </c>
      <c r="L6" s="98"/>
      <c r="M6" s="98"/>
      <c r="N6" s="46"/>
      <c r="O6" s="45" t="s">
        <v>20</v>
      </c>
      <c r="P6" s="98" t="s">
        <v>21</v>
      </c>
      <c r="Q6" s="98"/>
      <c r="R6" s="47"/>
      <c r="S6" s="45" t="s">
        <v>22</v>
      </c>
      <c r="T6" s="98" t="s">
        <v>23</v>
      </c>
      <c r="U6" s="99"/>
    </row>
    <row r="7" spans="1:21" ht="2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5" t="s">
        <v>25</v>
      </c>
      <c r="C8" s="71" t="s">
        <v>26</v>
      </c>
      <c r="D8" s="71"/>
      <c r="E8" s="71"/>
      <c r="F8" s="71"/>
      <c r="G8" s="71"/>
      <c r="H8" s="78"/>
      <c r="I8" s="83" t="s">
        <v>27</v>
      </c>
      <c r="J8" s="84"/>
      <c r="K8" s="84"/>
      <c r="L8" s="84"/>
      <c r="M8" s="84"/>
      <c r="N8" s="84"/>
      <c r="O8" s="84"/>
      <c r="P8" s="84"/>
      <c r="Q8" s="84"/>
      <c r="R8" s="84"/>
      <c r="S8" s="85"/>
      <c r="T8" s="86" t="s">
        <v>28</v>
      </c>
      <c r="U8" s="87"/>
    </row>
    <row r="9" spans="1:21" ht="19.5" customHeight="1" x14ac:dyDescent="0.2">
      <c r="B9" s="76"/>
      <c r="C9" s="79"/>
      <c r="D9" s="79"/>
      <c r="E9" s="79"/>
      <c r="F9" s="79"/>
      <c r="G9" s="79"/>
      <c r="H9" s="80"/>
      <c r="I9" s="88" t="s">
        <v>29</v>
      </c>
      <c r="J9" s="71"/>
      <c r="K9" s="71"/>
      <c r="L9" s="71" t="s">
        <v>30</v>
      </c>
      <c r="M9" s="71"/>
      <c r="N9" s="71"/>
      <c r="O9" s="71"/>
      <c r="P9" s="71" t="s">
        <v>31</v>
      </c>
      <c r="Q9" s="71" t="s">
        <v>32</v>
      </c>
      <c r="R9" s="73" t="s">
        <v>33</v>
      </c>
      <c r="S9" s="74"/>
      <c r="T9" s="71" t="s">
        <v>34</v>
      </c>
      <c r="U9" s="96" t="s">
        <v>35</v>
      </c>
    </row>
    <row r="10" spans="1:21" ht="43.5" customHeight="1" thickBot="1" x14ac:dyDescent="0.25">
      <c r="B10" s="77"/>
      <c r="C10" s="81"/>
      <c r="D10" s="81"/>
      <c r="E10" s="81"/>
      <c r="F10" s="81"/>
      <c r="G10" s="81"/>
      <c r="H10" s="82"/>
      <c r="I10" s="89"/>
      <c r="J10" s="72"/>
      <c r="K10" s="72"/>
      <c r="L10" s="72"/>
      <c r="M10" s="72"/>
      <c r="N10" s="72"/>
      <c r="O10" s="72"/>
      <c r="P10" s="72"/>
      <c r="Q10" s="72"/>
      <c r="R10" s="9" t="s">
        <v>36</v>
      </c>
      <c r="S10" s="10" t="s">
        <v>37</v>
      </c>
      <c r="T10" s="72"/>
      <c r="U10" s="97"/>
    </row>
    <row r="11" spans="1:21" ht="149.25" customHeight="1" thickTop="1" x14ac:dyDescent="0.2">
      <c r="A11" s="11"/>
      <c r="B11" s="12" t="s">
        <v>38</v>
      </c>
      <c r="C11" s="70" t="s">
        <v>139</v>
      </c>
      <c r="D11" s="70"/>
      <c r="E11" s="70"/>
      <c r="F11" s="70"/>
      <c r="G11" s="70"/>
      <c r="H11" s="70"/>
      <c r="I11" s="70" t="s">
        <v>140</v>
      </c>
      <c r="J11" s="70"/>
      <c r="K11" s="70"/>
      <c r="L11" s="70" t="s">
        <v>141</v>
      </c>
      <c r="M11" s="70"/>
      <c r="N11" s="70"/>
      <c r="O11" s="70"/>
      <c r="P11" s="13" t="s">
        <v>49</v>
      </c>
      <c r="Q11" s="13" t="s">
        <v>50</v>
      </c>
      <c r="R11" s="13" t="s">
        <v>44</v>
      </c>
      <c r="S11" s="13">
        <v>11.2</v>
      </c>
      <c r="T11" s="13">
        <v>8.15</v>
      </c>
      <c r="U11" s="48">
        <f>72.76</f>
        <v>72.760000000000005</v>
      </c>
    </row>
    <row r="12" spans="1:21" ht="132.75" customHeight="1" thickBot="1" x14ac:dyDescent="0.25">
      <c r="A12" s="11"/>
      <c r="B12" s="14" t="s">
        <v>51</v>
      </c>
      <c r="C12" s="62" t="s">
        <v>51</v>
      </c>
      <c r="D12" s="62"/>
      <c r="E12" s="62"/>
      <c r="F12" s="62"/>
      <c r="G12" s="62"/>
      <c r="H12" s="62"/>
      <c r="I12" s="62" t="s">
        <v>142</v>
      </c>
      <c r="J12" s="62"/>
      <c r="K12" s="62"/>
      <c r="L12" s="62" t="s">
        <v>143</v>
      </c>
      <c r="M12" s="62"/>
      <c r="N12" s="62"/>
      <c r="O12" s="62"/>
      <c r="P12" s="15" t="s">
        <v>42</v>
      </c>
      <c r="Q12" s="15" t="s">
        <v>43</v>
      </c>
      <c r="R12" s="15" t="s">
        <v>44</v>
      </c>
      <c r="S12" s="15">
        <v>5</v>
      </c>
      <c r="T12" s="15" t="s">
        <v>44</v>
      </c>
      <c r="U12" s="49" t="str">
        <f>"N/A"</f>
        <v>N/A</v>
      </c>
    </row>
    <row r="13" spans="1:21" ht="158.25" customHeight="1" thickTop="1" x14ac:dyDescent="0.2">
      <c r="A13" s="11"/>
      <c r="B13" s="12" t="s">
        <v>45</v>
      </c>
      <c r="C13" s="70" t="s">
        <v>144</v>
      </c>
      <c r="D13" s="70"/>
      <c r="E13" s="70"/>
      <c r="F13" s="70"/>
      <c r="G13" s="70"/>
      <c r="H13" s="70"/>
      <c r="I13" s="70" t="s">
        <v>145</v>
      </c>
      <c r="J13" s="70"/>
      <c r="K13" s="70"/>
      <c r="L13" s="70" t="s">
        <v>146</v>
      </c>
      <c r="M13" s="70"/>
      <c r="N13" s="70"/>
      <c r="O13" s="70"/>
      <c r="P13" s="13" t="s">
        <v>49</v>
      </c>
      <c r="Q13" s="13" t="s">
        <v>50</v>
      </c>
      <c r="R13" s="13" t="s">
        <v>44</v>
      </c>
      <c r="S13" s="13">
        <v>39</v>
      </c>
      <c r="T13" s="13">
        <v>93.77</v>
      </c>
      <c r="U13" s="48">
        <f>67.49</f>
        <v>67.489999999999995</v>
      </c>
    </row>
    <row r="14" spans="1:21" ht="108.75" customHeight="1" x14ac:dyDescent="0.2">
      <c r="A14" s="11"/>
      <c r="B14" s="14" t="s">
        <v>51</v>
      </c>
      <c r="C14" s="62" t="s">
        <v>51</v>
      </c>
      <c r="D14" s="62"/>
      <c r="E14" s="62"/>
      <c r="F14" s="62"/>
      <c r="G14" s="62"/>
      <c r="H14" s="62"/>
      <c r="I14" s="62" t="s">
        <v>147</v>
      </c>
      <c r="J14" s="62"/>
      <c r="K14" s="62"/>
      <c r="L14" s="62" t="s">
        <v>148</v>
      </c>
      <c r="M14" s="62"/>
      <c r="N14" s="62"/>
      <c r="O14" s="62"/>
      <c r="P14" s="15" t="s">
        <v>49</v>
      </c>
      <c r="Q14" s="15" t="s">
        <v>50</v>
      </c>
      <c r="R14" s="15" t="s">
        <v>44</v>
      </c>
      <c r="S14" s="15">
        <v>100</v>
      </c>
      <c r="T14" s="15">
        <v>155.04</v>
      </c>
      <c r="U14" s="49">
        <f>155.04</f>
        <v>155.04</v>
      </c>
    </row>
    <row r="15" spans="1:21" ht="213.75" customHeight="1" x14ac:dyDescent="0.2">
      <c r="A15" s="11"/>
      <c r="B15" s="14" t="s">
        <v>51</v>
      </c>
      <c r="C15" s="62" t="s">
        <v>51</v>
      </c>
      <c r="D15" s="62"/>
      <c r="E15" s="62"/>
      <c r="F15" s="62"/>
      <c r="G15" s="62"/>
      <c r="H15" s="62"/>
      <c r="I15" s="62" t="s">
        <v>149</v>
      </c>
      <c r="J15" s="62"/>
      <c r="K15" s="62"/>
      <c r="L15" s="62" t="s">
        <v>150</v>
      </c>
      <c r="M15" s="62"/>
      <c r="N15" s="62"/>
      <c r="O15" s="62"/>
      <c r="P15" s="15" t="s">
        <v>42</v>
      </c>
      <c r="Q15" s="15" t="s">
        <v>50</v>
      </c>
      <c r="R15" s="15" t="s">
        <v>44</v>
      </c>
      <c r="S15" s="15">
        <v>2.2999999999999998</v>
      </c>
      <c r="T15" s="15">
        <v>12.5</v>
      </c>
      <c r="U15" s="49">
        <f>543.47</f>
        <v>543.47</v>
      </c>
    </row>
    <row r="16" spans="1:21" ht="265.5" customHeight="1" x14ac:dyDescent="0.2">
      <c r="A16" s="11"/>
      <c r="B16" s="14" t="s">
        <v>51</v>
      </c>
      <c r="C16" s="62" t="s">
        <v>51</v>
      </c>
      <c r="D16" s="62"/>
      <c r="E16" s="62"/>
      <c r="F16" s="62"/>
      <c r="G16" s="62"/>
      <c r="H16" s="62"/>
      <c r="I16" s="62" t="s">
        <v>151</v>
      </c>
      <c r="J16" s="62"/>
      <c r="K16" s="62"/>
      <c r="L16" s="62" t="s">
        <v>152</v>
      </c>
      <c r="M16" s="62"/>
      <c r="N16" s="62"/>
      <c r="O16" s="62"/>
      <c r="P16" s="15" t="s">
        <v>42</v>
      </c>
      <c r="Q16" s="15" t="s">
        <v>50</v>
      </c>
      <c r="R16" s="15" t="s">
        <v>44</v>
      </c>
      <c r="S16" s="15">
        <v>2.2999999999999998</v>
      </c>
      <c r="T16" s="15">
        <v>0</v>
      </c>
      <c r="U16" s="49">
        <f>0</f>
        <v>0</v>
      </c>
    </row>
    <row r="17" spans="1:21" ht="75" customHeight="1" x14ac:dyDescent="0.2">
      <c r="A17" s="11"/>
      <c r="B17" s="14" t="s">
        <v>51</v>
      </c>
      <c r="C17" s="62" t="s">
        <v>51</v>
      </c>
      <c r="D17" s="62"/>
      <c r="E17" s="62"/>
      <c r="F17" s="62"/>
      <c r="G17" s="62"/>
      <c r="H17" s="62"/>
      <c r="I17" s="62" t="s">
        <v>153</v>
      </c>
      <c r="J17" s="62"/>
      <c r="K17" s="62"/>
      <c r="L17" s="62" t="s">
        <v>154</v>
      </c>
      <c r="M17" s="62"/>
      <c r="N17" s="62"/>
      <c r="O17" s="62"/>
      <c r="P17" s="15" t="s">
        <v>49</v>
      </c>
      <c r="Q17" s="15" t="s">
        <v>155</v>
      </c>
      <c r="R17" s="15" t="s">
        <v>44</v>
      </c>
      <c r="S17" s="15">
        <v>97.28</v>
      </c>
      <c r="T17" s="15">
        <v>100</v>
      </c>
      <c r="U17" s="49">
        <f>102.79</f>
        <v>102.79</v>
      </c>
    </row>
    <row r="18" spans="1:21" ht="108" customHeight="1" x14ac:dyDescent="0.2">
      <c r="A18" s="11"/>
      <c r="B18" s="14" t="s">
        <v>51</v>
      </c>
      <c r="C18" s="62" t="s">
        <v>51</v>
      </c>
      <c r="D18" s="62"/>
      <c r="E18" s="62"/>
      <c r="F18" s="62"/>
      <c r="G18" s="62"/>
      <c r="H18" s="62"/>
      <c r="I18" s="62" t="s">
        <v>156</v>
      </c>
      <c r="J18" s="62"/>
      <c r="K18" s="62"/>
      <c r="L18" s="62" t="s">
        <v>157</v>
      </c>
      <c r="M18" s="62"/>
      <c r="N18" s="62"/>
      <c r="O18" s="62"/>
      <c r="P18" s="15" t="s">
        <v>49</v>
      </c>
      <c r="Q18" s="15" t="s">
        <v>155</v>
      </c>
      <c r="R18" s="15" t="s">
        <v>44</v>
      </c>
      <c r="S18" s="15">
        <v>100</v>
      </c>
      <c r="T18" s="15">
        <v>100</v>
      </c>
      <c r="U18" s="49">
        <f>100</f>
        <v>100</v>
      </c>
    </row>
    <row r="19" spans="1:21" ht="109.5" customHeight="1" thickBot="1" x14ac:dyDescent="0.25">
      <c r="A19" s="11"/>
      <c r="B19" s="14" t="s">
        <v>51</v>
      </c>
      <c r="C19" s="62" t="s">
        <v>51</v>
      </c>
      <c r="D19" s="62"/>
      <c r="E19" s="62"/>
      <c r="F19" s="62"/>
      <c r="G19" s="62"/>
      <c r="H19" s="62"/>
      <c r="I19" s="62" t="s">
        <v>158</v>
      </c>
      <c r="J19" s="62"/>
      <c r="K19" s="62"/>
      <c r="L19" s="62" t="s">
        <v>159</v>
      </c>
      <c r="M19" s="62"/>
      <c r="N19" s="62"/>
      <c r="O19" s="62"/>
      <c r="P19" s="15" t="s">
        <v>49</v>
      </c>
      <c r="Q19" s="15" t="s">
        <v>155</v>
      </c>
      <c r="R19" s="15" t="s">
        <v>44</v>
      </c>
      <c r="S19" s="15">
        <v>100</v>
      </c>
      <c r="T19" s="15">
        <v>100</v>
      </c>
      <c r="U19" s="49">
        <f>100</f>
        <v>100</v>
      </c>
    </row>
    <row r="20" spans="1:21" ht="120" customHeight="1" thickTop="1" x14ac:dyDescent="0.2">
      <c r="A20" s="11"/>
      <c r="B20" s="12" t="s">
        <v>54</v>
      </c>
      <c r="C20" s="70" t="s">
        <v>160</v>
      </c>
      <c r="D20" s="70"/>
      <c r="E20" s="70"/>
      <c r="F20" s="70"/>
      <c r="G20" s="70"/>
      <c r="H20" s="70"/>
      <c r="I20" s="70" t="s">
        <v>161</v>
      </c>
      <c r="J20" s="70"/>
      <c r="K20" s="70"/>
      <c r="L20" s="70" t="s">
        <v>162</v>
      </c>
      <c r="M20" s="70"/>
      <c r="N20" s="70"/>
      <c r="O20" s="70"/>
      <c r="P20" s="13" t="s">
        <v>42</v>
      </c>
      <c r="Q20" s="13" t="s">
        <v>50</v>
      </c>
      <c r="R20" s="13">
        <v>3</v>
      </c>
      <c r="S20" s="13">
        <v>3.4</v>
      </c>
      <c r="T20" s="13">
        <v>25.6</v>
      </c>
      <c r="U20" s="48">
        <f>752.94</f>
        <v>752.94</v>
      </c>
    </row>
    <row r="21" spans="1:21" ht="189.75" customHeight="1" x14ac:dyDescent="0.2">
      <c r="A21" s="11"/>
      <c r="B21" s="14" t="s">
        <v>51</v>
      </c>
      <c r="C21" s="62" t="s">
        <v>163</v>
      </c>
      <c r="D21" s="62"/>
      <c r="E21" s="62"/>
      <c r="F21" s="62"/>
      <c r="G21" s="62"/>
      <c r="H21" s="62"/>
      <c r="I21" s="62" t="s">
        <v>164</v>
      </c>
      <c r="J21" s="62"/>
      <c r="K21" s="62"/>
      <c r="L21" s="62" t="s">
        <v>165</v>
      </c>
      <c r="M21" s="62"/>
      <c r="N21" s="62"/>
      <c r="O21" s="62"/>
      <c r="P21" s="15" t="s">
        <v>49</v>
      </c>
      <c r="Q21" s="15" t="s">
        <v>166</v>
      </c>
      <c r="R21" s="15" t="s">
        <v>44</v>
      </c>
      <c r="S21" s="15">
        <v>100</v>
      </c>
      <c r="T21" s="15">
        <v>105</v>
      </c>
      <c r="U21" s="49">
        <f>105</f>
        <v>105</v>
      </c>
    </row>
    <row r="22" spans="1:21" ht="112.5" customHeight="1" x14ac:dyDescent="0.2">
      <c r="A22" s="11"/>
      <c r="B22" s="14" t="s">
        <v>51</v>
      </c>
      <c r="C22" s="62" t="s">
        <v>167</v>
      </c>
      <c r="D22" s="62"/>
      <c r="E22" s="62"/>
      <c r="F22" s="62"/>
      <c r="G22" s="62"/>
      <c r="H22" s="62"/>
      <c r="I22" s="62" t="s">
        <v>168</v>
      </c>
      <c r="J22" s="62"/>
      <c r="K22" s="62"/>
      <c r="L22" s="62" t="s">
        <v>169</v>
      </c>
      <c r="M22" s="62"/>
      <c r="N22" s="62"/>
      <c r="O22" s="62"/>
      <c r="P22" s="15" t="s">
        <v>49</v>
      </c>
      <c r="Q22" s="15" t="s">
        <v>70</v>
      </c>
      <c r="R22" s="15">
        <v>32</v>
      </c>
      <c r="S22" s="15">
        <v>37.83</v>
      </c>
      <c r="T22" s="15">
        <v>29.03</v>
      </c>
      <c r="U22" s="49">
        <f>76.73</f>
        <v>76.73</v>
      </c>
    </row>
    <row r="23" spans="1:21" ht="75" customHeight="1" x14ac:dyDescent="0.2">
      <c r="A23" s="11"/>
      <c r="B23" s="14" t="s">
        <v>51</v>
      </c>
      <c r="C23" s="62" t="s">
        <v>170</v>
      </c>
      <c r="D23" s="62"/>
      <c r="E23" s="62"/>
      <c r="F23" s="62"/>
      <c r="G23" s="62"/>
      <c r="H23" s="62"/>
      <c r="I23" s="62" t="s">
        <v>171</v>
      </c>
      <c r="J23" s="62"/>
      <c r="K23" s="62"/>
      <c r="L23" s="62" t="s">
        <v>172</v>
      </c>
      <c r="M23" s="62"/>
      <c r="N23" s="62"/>
      <c r="O23" s="62"/>
      <c r="P23" s="15" t="s">
        <v>49</v>
      </c>
      <c r="Q23" s="15" t="s">
        <v>173</v>
      </c>
      <c r="R23" s="15" t="s">
        <v>44</v>
      </c>
      <c r="S23" s="15">
        <v>30</v>
      </c>
      <c r="T23" s="15">
        <v>26</v>
      </c>
      <c r="U23" s="49">
        <f>86.66</f>
        <v>86.66</v>
      </c>
    </row>
    <row r="24" spans="1:21" ht="93" customHeight="1" x14ac:dyDescent="0.2">
      <c r="A24" s="11"/>
      <c r="B24" s="14" t="s">
        <v>51</v>
      </c>
      <c r="C24" s="62" t="s">
        <v>51</v>
      </c>
      <c r="D24" s="62"/>
      <c r="E24" s="62"/>
      <c r="F24" s="62"/>
      <c r="G24" s="62"/>
      <c r="H24" s="62"/>
      <c r="I24" s="62" t="s">
        <v>174</v>
      </c>
      <c r="J24" s="62"/>
      <c r="K24" s="62"/>
      <c r="L24" s="62" t="s">
        <v>175</v>
      </c>
      <c r="M24" s="62"/>
      <c r="N24" s="62"/>
      <c r="O24" s="62"/>
      <c r="P24" s="15" t="s">
        <v>49</v>
      </c>
      <c r="Q24" s="15" t="s">
        <v>173</v>
      </c>
      <c r="R24" s="15" t="s">
        <v>44</v>
      </c>
      <c r="S24" s="15">
        <v>7</v>
      </c>
      <c r="T24" s="15">
        <v>7.3</v>
      </c>
      <c r="U24" s="49">
        <f>104.28</f>
        <v>104.28</v>
      </c>
    </row>
    <row r="25" spans="1:21" ht="172.5" customHeight="1" thickBot="1" x14ac:dyDescent="0.25">
      <c r="A25" s="11"/>
      <c r="B25" s="14" t="s">
        <v>51</v>
      </c>
      <c r="C25" s="62" t="s">
        <v>176</v>
      </c>
      <c r="D25" s="62"/>
      <c r="E25" s="62"/>
      <c r="F25" s="62"/>
      <c r="G25" s="62"/>
      <c r="H25" s="62"/>
      <c r="I25" s="62" t="s">
        <v>177</v>
      </c>
      <c r="J25" s="62"/>
      <c r="K25" s="62"/>
      <c r="L25" s="62" t="s">
        <v>178</v>
      </c>
      <c r="M25" s="62"/>
      <c r="N25" s="62"/>
      <c r="O25" s="62"/>
      <c r="P25" s="15" t="s">
        <v>42</v>
      </c>
      <c r="Q25" s="15" t="s">
        <v>50</v>
      </c>
      <c r="R25" s="15" t="s">
        <v>44</v>
      </c>
      <c r="S25" s="15">
        <v>3.4</v>
      </c>
      <c r="T25" s="15">
        <v>0</v>
      </c>
      <c r="U25" s="49">
        <f>0</f>
        <v>0</v>
      </c>
    </row>
    <row r="26" spans="1:21" ht="152.25" customHeight="1" thickTop="1" x14ac:dyDescent="0.2">
      <c r="A26" s="11"/>
      <c r="B26" s="12" t="s">
        <v>76</v>
      </c>
      <c r="C26" s="70" t="s">
        <v>179</v>
      </c>
      <c r="D26" s="70"/>
      <c r="E26" s="70"/>
      <c r="F26" s="70"/>
      <c r="G26" s="70"/>
      <c r="H26" s="70"/>
      <c r="I26" s="70" t="s">
        <v>180</v>
      </c>
      <c r="J26" s="70"/>
      <c r="K26" s="70"/>
      <c r="L26" s="70" t="s">
        <v>181</v>
      </c>
      <c r="M26" s="70"/>
      <c r="N26" s="70"/>
      <c r="O26" s="70"/>
      <c r="P26" s="13" t="s">
        <v>182</v>
      </c>
      <c r="Q26" s="13" t="s">
        <v>104</v>
      </c>
      <c r="R26" s="13" t="s">
        <v>44</v>
      </c>
      <c r="S26" s="13">
        <v>12</v>
      </c>
      <c r="T26" s="13">
        <v>37.299999999999997</v>
      </c>
      <c r="U26" s="48">
        <f>310.83</f>
        <v>310.83</v>
      </c>
    </row>
    <row r="27" spans="1:21" ht="113.25" customHeight="1" x14ac:dyDescent="0.2">
      <c r="A27" s="11"/>
      <c r="B27" s="14" t="s">
        <v>51</v>
      </c>
      <c r="C27" s="62" t="s">
        <v>183</v>
      </c>
      <c r="D27" s="62"/>
      <c r="E27" s="62"/>
      <c r="F27" s="62"/>
      <c r="G27" s="62"/>
      <c r="H27" s="62"/>
      <c r="I27" s="62" t="s">
        <v>184</v>
      </c>
      <c r="J27" s="62"/>
      <c r="K27" s="62"/>
      <c r="L27" s="62" t="s">
        <v>185</v>
      </c>
      <c r="M27" s="62"/>
      <c r="N27" s="62"/>
      <c r="O27" s="62"/>
      <c r="P27" s="15" t="s">
        <v>49</v>
      </c>
      <c r="Q27" s="15" t="s">
        <v>61</v>
      </c>
      <c r="R27" s="15" t="s">
        <v>44</v>
      </c>
      <c r="S27" s="15">
        <v>100</v>
      </c>
      <c r="T27" s="15">
        <v>100</v>
      </c>
      <c r="U27" s="49">
        <f>100</f>
        <v>100</v>
      </c>
    </row>
    <row r="28" spans="1:21" ht="108.75" customHeight="1" x14ac:dyDescent="0.2">
      <c r="A28" s="11"/>
      <c r="B28" s="14" t="s">
        <v>51</v>
      </c>
      <c r="C28" s="62" t="s">
        <v>186</v>
      </c>
      <c r="D28" s="62"/>
      <c r="E28" s="62"/>
      <c r="F28" s="62"/>
      <c r="G28" s="62"/>
      <c r="H28" s="62"/>
      <c r="I28" s="62" t="s">
        <v>187</v>
      </c>
      <c r="J28" s="62"/>
      <c r="K28" s="62"/>
      <c r="L28" s="62" t="s">
        <v>188</v>
      </c>
      <c r="M28" s="62"/>
      <c r="N28" s="62"/>
      <c r="O28" s="62"/>
      <c r="P28" s="15" t="s">
        <v>49</v>
      </c>
      <c r="Q28" s="15" t="s">
        <v>166</v>
      </c>
      <c r="R28" s="15">
        <v>99.5</v>
      </c>
      <c r="S28" s="15">
        <v>99.5</v>
      </c>
      <c r="T28" s="15">
        <v>99.86</v>
      </c>
      <c r="U28" s="49">
        <f>100.36</f>
        <v>100.36</v>
      </c>
    </row>
    <row r="29" spans="1:21" ht="153.75" customHeight="1" x14ac:dyDescent="0.2">
      <c r="A29" s="11"/>
      <c r="B29" s="14" t="s">
        <v>51</v>
      </c>
      <c r="C29" s="62" t="s">
        <v>189</v>
      </c>
      <c r="D29" s="62"/>
      <c r="E29" s="62"/>
      <c r="F29" s="62"/>
      <c r="G29" s="62"/>
      <c r="H29" s="62"/>
      <c r="I29" s="62" t="s">
        <v>190</v>
      </c>
      <c r="J29" s="62"/>
      <c r="K29" s="62"/>
      <c r="L29" s="62" t="s">
        <v>191</v>
      </c>
      <c r="M29" s="62"/>
      <c r="N29" s="62"/>
      <c r="O29" s="62"/>
      <c r="P29" s="15" t="s">
        <v>49</v>
      </c>
      <c r="Q29" s="15" t="s">
        <v>166</v>
      </c>
      <c r="R29" s="15">
        <v>90</v>
      </c>
      <c r="S29" s="15">
        <v>161.37</v>
      </c>
      <c r="T29" s="15">
        <v>136.85</v>
      </c>
      <c r="U29" s="49">
        <f>84.8</f>
        <v>84.8</v>
      </c>
    </row>
    <row r="30" spans="1:21" ht="104.25" customHeight="1" x14ac:dyDescent="0.2">
      <c r="A30" s="11"/>
      <c r="B30" s="14" t="s">
        <v>51</v>
      </c>
      <c r="C30" s="62" t="s">
        <v>192</v>
      </c>
      <c r="D30" s="62"/>
      <c r="E30" s="62"/>
      <c r="F30" s="62"/>
      <c r="G30" s="62"/>
      <c r="H30" s="62"/>
      <c r="I30" s="62" t="s">
        <v>193</v>
      </c>
      <c r="J30" s="62"/>
      <c r="K30" s="62"/>
      <c r="L30" s="62" t="s">
        <v>194</v>
      </c>
      <c r="M30" s="62"/>
      <c r="N30" s="62"/>
      <c r="O30" s="62"/>
      <c r="P30" s="15" t="s">
        <v>49</v>
      </c>
      <c r="Q30" s="15" t="s">
        <v>166</v>
      </c>
      <c r="R30" s="15" t="s">
        <v>44</v>
      </c>
      <c r="S30" s="15">
        <v>75</v>
      </c>
      <c r="T30" s="15">
        <v>70</v>
      </c>
      <c r="U30" s="49">
        <f>93.33</f>
        <v>93.33</v>
      </c>
    </row>
    <row r="31" spans="1:21" ht="103.5" customHeight="1" x14ac:dyDescent="0.2">
      <c r="A31" s="11"/>
      <c r="B31" s="14" t="s">
        <v>51</v>
      </c>
      <c r="C31" s="62" t="s">
        <v>51</v>
      </c>
      <c r="D31" s="62"/>
      <c r="E31" s="62"/>
      <c r="F31" s="62"/>
      <c r="G31" s="62"/>
      <c r="H31" s="62"/>
      <c r="I31" s="62" t="s">
        <v>195</v>
      </c>
      <c r="J31" s="62"/>
      <c r="K31" s="62"/>
      <c r="L31" s="62" t="s">
        <v>196</v>
      </c>
      <c r="M31" s="62"/>
      <c r="N31" s="62"/>
      <c r="O31" s="62"/>
      <c r="P31" s="15" t="s">
        <v>49</v>
      </c>
      <c r="Q31" s="15" t="s">
        <v>166</v>
      </c>
      <c r="R31" s="15" t="s">
        <v>44</v>
      </c>
      <c r="S31" s="15">
        <v>22.22</v>
      </c>
      <c r="T31" s="15">
        <v>30</v>
      </c>
      <c r="U31" s="49">
        <f>135.01</f>
        <v>135.01</v>
      </c>
    </row>
    <row r="32" spans="1:21" ht="75" customHeight="1" x14ac:dyDescent="0.2">
      <c r="A32" s="11"/>
      <c r="B32" s="14" t="s">
        <v>51</v>
      </c>
      <c r="C32" s="62" t="s">
        <v>197</v>
      </c>
      <c r="D32" s="62"/>
      <c r="E32" s="62"/>
      <c r="F32" s="62"/>
      <c r="G32" s="62"/>
      <c r="H32" s="62"/>
      <c r="I32" s="62" t="s">
        <v>198</v>
      </c>
      <c r="J32" s="62"/>
      <c r="K32" s="62"/>
      <c r="L32" s="62" t="s">
        <v>199</v>
      </c>
      <c r="M32" s="62"/>
      <c r="N32" s="62"/>
      <c r="O32" s="62"/>
      <c r="P32" s="15" t="s">
        <v>49</v>
      </c>
      <c r="Q32" s="15" t="s">
        <v>166</v>
      </c>
      <c r="R32" s="15" t="s">
        <v>44</v>
      </c>
      <c r="S32" s="15">
        <v>100</v>
      </c>
      <c r="T32" s="15">
        <v>93</v>
      </c>
      <c r="U32" s="49">
        <f>93</f>
        <v>93</v>
      </c>
    </row>
    <row r="33" spans="1:22" ht="134.25" customHeight="1" x14ac:dyDescent="0.2">
      <c r="A33" s="11"/>
      <c r="B33" s="14" t="s">
        <v>51</v>
      </c>
      <c r="C33" s="62" t="s">
        <v>200</v>
      </c>
      <c r="D33" s="62"/>
      <c r="E33" s="62"/>
      <c r="F33" s="62"/>
      <c r="G33" s="62"/>
      <c r="H33" s="62"/>
      <c r="I33" s="62" t="s">
        <v>201</v>
      </c>
      <c r="J33" s="62"/>
      <c r="K33" s="62"/>
      <c r="L33" s="62" t="s">
        <v>202</v>
      </c>
      <c r="M33" s="62"/>
      <c r="N33" s="62"/>
      <c r="O33" s="62"/>
      <c r="P33" s="15" t="s">
        <v>49</v>
      </c>
      <c r="Q33" s="15" t="s">
        <v>64</v>
      </c>
      <c r="R33" s="15">
        <v>21.96</v>
      </c>
      <c r="S33" s="15">
        <v>22.85</v>
      </c>
      <c r="T33" s="15">
        <v>24.12</v>
      </c>
      <c r="U33" s="49">
        <f>105.56</f>
        <v>105.56</v>
      </c>
    </row>
    <row r="34" spans="1:22" ht="101.25" customHeight="1" x14ac:dyDescent="0.2">
      <c r="A34" s="11"/>
      <c r="B34" s="14" t="s">
        <v>51</v>
      </c>
      <c r="C34" s="62" t="s">
        <v>51</v>
      </c>
      <c r="D34" s="62"/>
      <c r="E34" s="62"/>
      <c r="F34" s="62"/>
      <c r="G34" s="62"/>
      <c r="H34" s="62"/>
      <c r="I34" s="62" t="s">
        <v>203</v>
      </c>
      <c r="J34" s="62"/>
      <c r="K34" s="62"/>
      <c r="L34" s="62" t="s">
        <v>204</v>
      </c>
      <c r="M34" s="62"/>
      <c r="N34" s="62"/>
      <c r="O34" s="62"/>
      <c r="P34" s="15" t="s">
        <v>49</v>
      </c>
      <c r="Q34" s="15" t="s">
        <v>166</v>
      </c>
      <c r="R34" s="15">
        <v>5.51</v>
      </c>
      <c r="S34" s="15">
        <v>38.909999999999997</v>
      </c>
      <c r="T34" s="15">
        <v>25.88</v>
      </c>
      <c r="U34" s="49">
        <f>66.51</f>
        <v>66.510000000000005</v>
      </c>
    </row>
    <row r="35" spans="1:22" ht="133.5" customHeight="1" x14ac:dyDescent="0.2">
      <c r="A35" s="11"/>
      <c r="B35" s="14" t="s">
        <v>51</v>
      </c>
      <c r="C35" s="62" t="s">
        <v>51</v>
      </c>
      <c r="D35" s="62"/>
      <c r="E35" s="62"/>
      <c r="F35" s="62"/>
      <c r="G35" s="62"/>
      <c r="H35" s="62"/>
      <c r="I35" s="62" t="s">
        <v>205</v>
      </c>
      <c r="J35" s="62"/>
      <c r="K35" s="62"/>
      <c r="L35" s="62" t="s">
        <v>206</v>
      </c>
      <c r="M35" s="62"/>
      <c r="N35" s="62"/>
      <c r="O35" s="62"/>
      <c r="P35" s="15" t="s">
        <v>49</v>
      </c>
      <c r="Q35" s="15" t="s">
        <v>64</v>
      </c>
      <c r="R35" s="15" t="s">
        <v>44</v>
      </c>
      <c r="S35" s="15">
        <v>35.42</v>
      </c>
      <c r="T35" s="15">
        <v>42.93</v>
      </c>
      <c r="U35" s="49">
        <f>121.2</f>
        <v>121.2</v>
      </c>
    </row>
    <row r="36" spans="1:22" ht="87" customHeight="1" x14ac:dyDescent="0.2">
      <c r="A36" s="11"/>
      <c r="B36" s="14" t="s">
        <v>51</v>
      </c>
      <c r="C36" s="62" t="s">
        <v>207</v>
      </c>
      <c r="D36" s="62"/>
      <c r="E36" s="62"/>
      <c r="F36" s="62"/>
      <c r="G36" s="62"/>
      <c r="H36" s="62"/>
      <c r="I36" s="62" t="s">
        <v>208</v>
      </c>
      <c r="J36" s="62"/>
      <c r="K36" s="62"/>
      <c r="L36" s="62" t="s">
        <v>209</v>
      </c>
      <c r="M36" s="62"/>
      <c r="N36" s="62"/>
      <c r="O36" s="62"/>
      <c r="P36" s="15" t="s">
        <v>49</v>
      </c>
      <c r="Q36" s="15" t="s">
        <v>166</v>
      </c>
      <c r="R36" s="15">
        <v>9.5</v>
      </c>
      <c r="S36" s="15">
        <v>0.32</v>
      </c>
      <c r="T36" s="15">
        <v>0</v>
      </c>
      <c r="U36" s="49">
        <f>0</f>
        <v>0</v>
      </c>
    </row>
    <row r="37" spans="1:22" ht="98.25" customHeight="1" x14ac:dyDescent="0.2">
      <c r="A37" s="11"/>
      <c r="B37" s="14" t="s">
        <v>51</v>
      </c>
      <c r="C37" s="62" t="s">
        <v>51</v>
      </c>
      <c r="D37" s="62"/>
      <c r="E37" s="62"/>
      <c r="F37" s="62"/>
      <c r="G37" s="62"/>
      <c r="H37" s="62"/>
      <c r="I37" s="62" t="s">
        <v>210</v>
      </c>
      <c r="J37" s="62"/>
      <c r="K37" s="62"/>
      <c r="L37" s="62" t="s">
        <v>211</v>
      </c>
      <c r="M37" s="62"/>
      <c r="N37" s="62"/>
      <c r="O37" s="62"/>
      <c r="P37" s="15" t="s">
        <v>49</v>
      </c>
      <c r="Q37" s="15" t="s">
        <v>64</v>
      </c>
      <c r="R37" s="15">
        <v>2.57</v>
      </c>
      <c r="S37" s="15">
        <v>0.62</v>
      </c>
      <c r="T37" s="15">
        <v>0</v>
      </c>
      <c r="U37" s="49">
        <f>0</f>
        <v>0</v>
      </c>
    </row>
    <row r="38" spans="1:22" ht="75" customHeight="1" x14ac:dyDescent="0.2">
      <c r="A38" s="11"/>
      <c r="B38" s="14" t="s">
        <v>51</v>
      </c>
      <c r="C38" s="62" t="s">
        <v>212</v>
      </c>
      <c r="D38" s="62"/>
      <c r="E38" s="62"/>
      <c r="F38" s="62"/>
      <c r="G38" s="62"/>
      <c r="H38" s="62"/>
      <c r="I38" s="62" t="s">
        <v>213</v>
      </c>
      <c r="J38" s="62"/>
      <c r="K38" s="62"/>
      <c r="L38" s="62" t="s">
        <v>214</v>
      </c>
      <c r="M38" s="62"/>
      <c r="N38" s="62"/>
      <c r="O38" s="62"/>
      <c r="P38" s="15" t="s">
        <v>49</v>
      </c>
      <c r="Q38" s="15" t="s">
        <v>166</v>
      </c>
      <c r="R38" s="15">
        <v>19.95</v>
      </c>
      <c r="S38" s="15">
        <v>37.74</v>
      </c>
      <c r="T38" s="15">
        <v>26.08</v>
      </c>
      <c r="U38" s="49">
        <f>60.1</f>
        <v>60.1</v>
      </c>
    </row>
    <row r="39" spans="1:22" ht="125.25" customHeight="1" x14ac:dyDescent="0.2">
      <c r="A39" s="11"/>
      <c r="B39" s="14" t="s">
        <v>51</v>
      </c>
      <c r="C39" s="62" t="s">
        <v>51</v>
      </c>
      <c r="D39" s="62"/>
      <c r="E39" s="62"/>
      <c r="F39" s="62"/>
      <c r="G39" s="62"/>
      <c r="H39" s="62"/>
      <c r="I39" s="62" t="s">
        <v>215</v>
      </c>
      <c r="J39" s="62"/>
      <c r="K39" s="62"/>
      <c r="L39" s="62" t="s">
        <v>216</v>
      </c>
      <c r="M39" s="62"/>
      <c r="N39" s="62"/>
      <c r="O39" s="62"/>
      <c r="P39" s="15" t="s">
        <v>49</v>
      </c>
      <c r="Q39" s="15" t="s">
        <v>64</v>
      </c>
      <c r="R39" s="15">
        <v>32</v>
      </c>
      <c r="S39" s="15">
        <v>37.700000000000003</v>
      </c>
      <c r="T39" s="15">
        <v>26.69</v>
      </c>
      <c r="U39" s="49">
        <f>70.79</f>
        <v>70.790000000000006</v>
      </c>
    </row>
    <row r="40" spans="1:22" ht="129.75" customHeight="1" x14ac:dyDescent="0.2">
      <c r="A40" s="11"/>
      <c r="B40" s="14" t="s">
        <v>51</v>
      </c>
      <c r="C40" s="62" t="s">
        <v>217</v>
      </c>
      <c r="D40" s="62"/>
      <c r="E40" s="62"/>
      <c r="F40" s="62"/>
      <c r="G40" s="62"/>
      <c r="H40" s="62"/>
      <c r="I40" s="62" t="s">
        <v>201</v>
      </c>
      <c r="J40" s="62"/>
      <c r="K40" s="62"/>
      <c r="L40" s="62" t="s">
        <v>202</v>
      </c>
      <c r="M40" s="62"/>
      <c r="N40" s="62"/>
      <c r="O40" s="62"/>
      <c r="P40" s="15" t="s">
        <v>49</v>
      </c>
      <c r="Q40" s="15" t="s">
        <v>64</v>
      </c>
      <c r="R40" s="15">
        <v>21.96</v>
      </c>
      <c r="S40" s="15">
        <v>22.85</v>
      </c>
      <c r="T40" s="15">
        <v>24.12</v>
      </c>
      <c r="U40" s="49">
        <f>105.55</f>
        <v>105.55</v>
      </c>
    </row>
    <row r="41" spans="1:22" ht="102" customHeight="1" x14ac:dyDescent="0.2">
      <c r="A41" s="11"/>
      <c r="B41" s="14" t="s">
        <v>51</v>
      </c>
      <c r="C41" s="62" t="s">
        <v>51</v>
      </c>
      <c r="D41" s="62"/>
      <c r="E41" s="62"/>
      <c r="F41" s="62"/>
      <c r="G41" s="62"/>
      <c r="H41" s="62"/>
      <c r="I41" s="62" t="s">
        <v>218</v>
      </c>
      <c r="J41" s="62"/>
      <c r="K41" s="62"/>
      <c r="L41" s="62" t="s">
        <v>219</v>
      </c>
      <c r="M41" s="62"/>
      <c r="N41" s="62"/>
      <c r="O41" s="62"/>
      <c r="P41" s="15" t="s">
        <v>49</v>
      </c>
      <c r="Q41" s="15" t="s">
        <v>166</v>
      </c>
      <c r="R41" s="15">
        <v>11.99</v>
      </c>
      <c r="S41" s="15">
        <v>15.49</v>
      </c>
      <c r="T41" s="15">
        <v>16.64</v>
      </c>
      <c r="U41" s="49">
        <f>107.42</f>
        <v>107.42</v>
      </c>
    </row>
    <row r="42" spans="1:22" ht="75" customHeight="1" x14ac:dyDescent="0.2">
      <c r="A42" s="11"/>
      <c r="B42" s="14" t="s">
        <v>51</v>
      </c>
      <c r="C42" s="62" t="s">
        <v>220</v>
      </c>
      <c r="D42" s="62"/>
      <c r="E42" s="62"/>
      <c r="F42" s="62"/>
      <c r="G42" s="62"/>
      <c r="H42" s="62"/>
      <c r="I42" s="62" t="s">
        <v>221</v>
      </c>
      <c r="J42" s="62"/>
      <c r="K42" s="62"/>
      <c r="L42" s="62" t="s">
        <v>222</v>
      </c>
      <c r="M42" s="62"/>
      <c r="N42" s="62"/>
      <c r="O42" s="62"/>
      <c r="P42" s="15" t="s">
        <v>49</v>
      </c>
      <c r="Q42" s="15" t="s">
        <v>166</v>
      </c>
      <c r="R42" s="15">
        <v>76</v>
      </c>
      <c r="S42" s="15">
        <v>66.67</v>
      </c>
      <c r="T42" s="15">
        <v>80.66</v>
      </c>
      <c r="U42" s="49">
        <f>120.98</f>
        <v>120.98</v>
      </c>
    </row>
    <row r="43" spans="1:22" ht="75" customHeight="1" x14ac:dyDescent="0.2">
      <c r="A43" s="11"/>
      <c r="B43" s="14" t="s">
        <v>51</v>
      </c>
      <c r="C43" s="62" t="s">
        <v>51</v>
      </c>
      <c r="D43" s="62"/>
      <c r="E43" s="62"/>
      <c r="F43" s="62"/>
      <c r="G43" s="62"/>
      <c r="H43" s="62"/>
      <c r="I43" s="62" t="s">
        <v>223</v>
      </c>
      <c r="J43" s="62"/>
      <c r="K43" s="62"/>
      <c r="L43" s="62" t="s">
        <v>224</v>
      </c>
      <c r="M43" s="62"/>
      <c r="N43" s="62"/>
      <c r="O43" s="62"/>
      <c r="P43" s="15" t="s">
        <v>49</v>
      </c>
      <c r="Q43" s="15" t="s">
        <v>166</v>
      </c>
      <c r="R43" s="15" t="s">
        <v>44</v>
      </c>
      <c r="S43" s="15">
        <v>46.15</v>
      </c>
      <c r="T43" s="15">
        <v>77.84</v>
      </c>
      <c r="U43" s="49">
        <f>168.66</f>
        <v>168.66</v>
      </c>
    </row>
    <row r="44" spans="1:22" ht="105" customHeight="1" thickBot="1" x14ac:dyDescent="0.25">
      <c r="A44" s="11"/>
      <c r="B44" s="14" t="s">
        <v>51</v>
      </c>
      <c r="C44" s="62" t="s">
        <v>225</v>
      </c>
      <c r="D44" s="62"/>
      <c r="E44" s="62"/>
      <c r="F44" s="62"/>
      <c r="G44" s="62"/>
      <c r="H44" s="62"/>
      <c r="I44" s="62" t="s">
        <v>184</v>
      </c>
      <c r="J44" s="62"/>
      <c r="K44" s="62"/>
      <c r="L44" s="62" t="s">
        <v>185</v>
      </c>
      <c r="M44" s="62"/>
      <c r="N44" s="62"/>
      <c r="O44" s="62"/>
      <c r="P44" s="15" t="s">
        <v>49</v>
      </c>
      <c r="Q44" s="15" t="s">
        <v>61</v>
      </c>
      <c r="R44" s="15" t="s">
        <v>44</v>
      </c>
      <c r="S44" s="15">
        <v>100</v>
      </c>
      <c r="T44" s="15">
        <v>100</v>
      </c>
      <c r="U44" s="49">
        <f>100</f>
        <v>100</v>
      </c>
    </row>
    <row r="45" spans="1:22" ht="20.25" customHeight="1" thickTop="1" thickBot="1" x14ac:dyDescent="0.25">
      <c r="B45" s="4" t="s">
        <v>108</v>
      </c>
      <c r="C45" s="5"/>
      <c r="D45" s="5"/>
      <c r="E45" s="5"/>
      <c r="F45" s="5"/>
      <c r="G45" s="5"/>
      <c r="H45" s="6"/>
      <c r="I45" s="6"/>
      <c r="J45" s="6"/>
      <c r="K45" s="6"/>
      <c r="L45" s="6"/>
      <c r="M45" s="6"/>
      <c r="N45" s="6"/>
      <c r="O45" s="6"/>
      <c r="P45" s="6"/>
      <c r="Q45" s="6"/>
      <c r="R45" s="6"/>
      <c r="S45" s="6"/>
      <c r="T45" s="6"/>
      <c r="U45" s="7"/>
      <c r="V45" s="16"/>
    </row>
    <row r="46" spans="1:22" ht="26.25" customHeight="1" thickTop="1" x14ac:dyDescent="0.2">
      <c r="B46" s="17"/>
      <c r="C46" s="18"/>
      <c r="D46" s="18"/>
      <c r="E46" s="18"/>
      <c r="F46" s="18"/>
      <c r="G46" s="18"/>
      <c r="H46" s="19"/>
      <c r="I46" s="19"/>
      <c r="J46" s="19"/>
      <c r="K46" s="19"/>
      <c r="L46" s="19"/>
      <c r="M46" s="19"/>
      <c r="N46" s="19"/>
      <c r="O46" s="19"/>
      <c r="P46" s="19"/>
      <c r="Q46" s="19"/>
      <c r="R46" s="20"/>
      <c r="S46" s="21" t="s">
        <v>33</v>
      </c>
      <c r="T46" s="21" t="s">
        <v>109</v>
      </c>
      <c r="U46" s="8" t="s">
        <v>110</v>
      </c>
    </row>
    <row r="47" spans="1:22" ht="36" customHeight="1" thickBot="1" x14ac:dyDescent="0.25">
      <c r="B47" s="22"/>
      <c r="C47" s="23"/>
      <c r="D47" s="23"/>
      <c r="E47" s="23"/>
      <c r="F47" s="23"/>
      <c r="G47" s="23"/>
      <c r="H47" s="24"/>
      <c r="I47" s="24"/>
      <c r="J47" s="24"/>
      <c r="K47" s="24"/>
      <c r="L47" s="24"/>
      <c r="M47" s="24"/>
      <c r="N47" s="24"/>
      <c r="O47" s="24"/>
      <c r="P47" s="24"/>
      <c r="Q47" s="24"/>
      <c r="R47" s="24"/>
      <c r="S47" s="25" t="s">
        <v>111</v>
      </c>
      <c r="T47" s="26" t="s">
        <v>111</v>
      </c>
      <c r="U47" s="26" t="s">
        <v>112</v>
      </c>
    </row>
    <row r="48" spans="1:22" ht="21" customHeight="1" thickBot="1" x14ac:dyDescent="0.25">
      <c r="B48" s="63" t="s">
        <v>113</v>
      </c>
      <c r="C48" s="64"/>
      <c r="D48" s="64"/>
      <c r="E48" s="27"/>
      <c r="F48" s="27"/>
      <c r="G48" s="27"/>
      <c r="H48" s="28"/>
      <c r="I48" s="28"/>
      <c r="J48" s="28"/>
      <c r="K48" s="28"/>
      <c r="L48" s="28"/>
      <c r="M48" s="28"/>
      <c r="N48" s="28"/>
      <c r="O48" s="28"/>
      <c r="P48" s="29"/>
      <c r="Q48" s="29"/>
      <c r="R48" s="29"/>
      <c r="S48" s="50">
        <v>15780.998600999999</v>
      </c>
      <c r="T48" s="50">
        <v>14965.71917921</v>
      </c>
      <c r="U48" s="51">
        <f>+IF(ISERR(T48/S48*100),"N/A",ROUND(T48/S48*100,1))</f>
        <v>94.8</v>
      </c>
    </row>
    <row r="49" spans="2:21" ht="21" customHeight="1" thickBot="1" x14ac:dyDescent="0.25">
      <c r="B49" s="65" t="s">
        <v>114</v>
      </c>
      <c r="C49" s="66"/>
      <c r="D49" s="66"/>
      <c r="E49" s="30"/>
      <c r="F49" s="30"/>
      <c r="G49" s="30"/>
      <c r="H49" s="31"/>
      <c r="I49" s="31"/>
      <c r="J49" s="31"/>
      <c r="K49" s="31"/>
      <c r="L49" s="31"/>
      <c r="M49" s="31"/>
      <c r="N49" s="31"/>
      <c r="O49" s="31"/>
      <c r="P49" s="32"/>
      <c r="Q49" s="32"/>
      <c r="R49" s="32"/>
      <c r="S49" s="50">
        <v>14965.766181590001</v>
      </c>
      <c r="T49" s="50">
        <v>14965.71917921</v>
      </c>
      <c r="U49" s="51">
        <f>+IF(ISERR(T49/S49*100),"N/A",ROUND(T49/S49*100,1))</f>
        <v>100</v>
      </c>
    </row>
    <row r="50" spans="2:21" ht="21.75" customHeight="1" thickTop="1" thickBot="1" x14ac:dyDescent="0.25">
      <c r="B50" s="4" t="s">
        <v>115</v>
      </c>
      <c r="C50" s="5"/>
      <c r="D50" s="5"/>
      <c r="E50" s="5"/>
      <c r="F50" s="5"/>
      <c r="G50" s="5"/>
      <c r="H50" s="6"/>
      <c r="I50" s="6"/>
      <c r="J50" s="6"/>
      <c r="K50" s="6"/>
      <c r="L50" s="6"/>
      <c r="M50" s="6"/>
      <c r="N50" s="6"/>
      <c r="O50" s="6"/>
      <c r="P50" s="6"/>
      <c r="Q50" s="6"/>
      <c r="R50" s="6"/>
      <c r="S50" s="6"/>
      <c r="T50" s="6"/>
      <c r="U50" s="7"/>
    </row>
    <row r="51" spans="2:21" ht="44.25" customHeight="1" thickTop="1" x14ac:dyDescent="0.2">
      <c r="B51" s="67" t="s">
        <v>116</v>
      </c>
      <c r="C51" s="68"/>
      <c r="D51" s="68"/>
      <c r="E51" s="68"/>
      <c r="F51" s="68"/>
      <c r="G51" s="68"/>
      <c r="H51" s="68"/>
      <c r="I51" s="68"/>
      <c r="J51" s="68"/>
      <c r="K51" s="68"/>
      <c r="L51" s="68"/>
      <c r="M51" s="68"/>
      <c r="N51" s="68"/>
      <c r="O51" s="68"/>
      <c r="P51" s="68"/>
      <c r="Q51" s="68"/>
      <c r="R51" s="68"/>
      <c r="S51" s="68"/>
      <c r="T51" s="68"/>
      <c r="U51" s="69"/>
    </row>
    <row r="52" spans="2:21" ht="95.45" customHeight="1" x14ac:dyDescent="0.2">
      <c r="B52" s="56" t="s">
        <v>226</v>
      </c>
      <c r="C52" s="57"/>
      <c r="D52" s="57"/>
      <c r="E52" s="57"/>
      <c r="F52" s="57"/>
      <c r="G52" s="57"/>
      <c r="H52" s="57"/>
      <c r="I52" s="57"/>
      <c r="J52" s="57"/>
      <c r="K52" s="57"/>
      <c r="L52" s="57"/>
      <c r="M52" s="57"/>
      <c r="N52" s="57"/>
      <c r="O52" s="57"/>
      <c r="P52" s="57"/>
      <c r="Q52" s="57"/>
      <c r="R52" s="57"/>
      <c r="S52" s="57"/>
      <c r="T52" s="57"/>
      <c r="U52" s="58"/>
    </row>
    <row r="53" spans="2:21" ht="152.1" customHeight="1" x14ac:dyDescent="0.2">
      <c r="B53" s="56" t="s">
        <v>227</v>
      </c>
      <c r="C53" s="57"/>
      <c r="D53" s="57"/>
      <c r="E53" s="57"/>
      <c r="F53" s="57"/>
      <c r="G53" s="57"/>
      <c r="H53" s="57"/>
      <c r="I53" s="57"/>
      <c r="J53" s="57"/>
      <c r="K53" s="57"/>
      <c r="L53" s="57"/>
      <c r="M53" s="57"/>
      <c r="N53" s="57"/>
      <c r="O53" s="57"/>
      <c r="P53" s="57"/>
      <c r="Q53" s="57"/>
      <c r="R53" s="57"/>
      <c r="S53" s="57"/>
      <c r="T53" s="57"/>
      <c r="U53" s="58"/>
    </row>
    <row r="54" spans="2:21" ht="82.5" customHeight="1" x14ac:dyDescent="0.2">
      <c r="B54" s="56" t="s">
        <v>228</v>
      </c>
      <c r="C54" s="57"/>
      <c r="D54" s="57"/>
      <c r="E54" s="57"/>
      <c r="F54" s="57"/>
      <c r="G54" s="57"/>
      <c r="H54" s="57"/>
      <c r="I54" s="57"/>
      <c r="J54" s="57"/>
      <c r="K54" s="57"/>
      <c r="L54" s="57"/>
      <c r="M54" s="57"/>
      <c r="N54" s="57"/>
      <c r="O54" s="57"/>
      <c r="P54" s="57"/>
      <c r="Q54" s="57"/>
      <c r="R54" s="57"/>
      <c r="S54" s="57"/>
      <c r="T54" s="57"/>
      <c r="U54" s="58"/>
    </row>
    <row r="55" spans="2:21" ht="83.25" customHeight="1" x14ac:dyDescent="0.2">
      <c r="B55" s="56" t="s">
        <v>229</v>
      </c>
      <c r="C55" s="57"/>
      <c r="D55" s="57"/>
      <c r="E55" s="57"/>
      <c r="F55" s="57"/>
      <c r="G55" s="57"/>
      <c r="H55" s="57"/>
      <c r="I55" s="57"/>
      <c r="J55" s="57"/>
      <c r="K55" s="57"/>
      <c r="L55" s="57"/>
      <c r="M55" s="57"/>
      <c r="N55" s="57"/>
      <c r="O55" s="57"/>
      <c r="P55" s="57"/>
      <c r="Q55" s="57"/>
      <c r="R55" s="57"/>
      <c r="S55" s="57"/>
      <c r="T55" s="57"/>
      <c r="U55" s="58"/>
    </row>
    <row r="56" spans="2:21" ht="141.6" customHeight="1" x14ac:dyDescent="0.2">
      <c r="B56" s="56" t="s">
        <v>230</v>
      </c>
      <c r="C56" s="57"/>
      <c r="D56" s="57"/>
      <c r="E56" s="57"/>
      <c r="F56" s="57"/>
      <c r="G56" s="57"/>
      <c r="H56" s="57"/>
      <c r="I56" s="57"/>
      <c r="J56" s="57"/>
      <c r="K56" s="57"/>
      <c r="L56" s="57"/>
      <c r="M56" s="57"/>
      <c r="N56" s="57"/>
      <c r="O56" s="57"/>
      <c r="P56" s="57"/>
      <c r="Q56" s="57"/>
      <c r="R56" s="57"/>
      <c r="S56" s="57"/>
      <c r="T56" s="57"/>
      <c r="U56" s="58"/>
    </row>
    <row r="57" spans="2:21" ht="64.5" customHeight="1" x14ac:dyDescent="0.2">
      <c r="B57" s="56" t="s">
        <v>231</v>
      </c>
      <c r="C57" s="57"/>
      <c r="D57" s="57"/>
      <c r="E57" s="57"/>
      <c r="F57" s="57"/>
      <c r="G57" s="57"/>
      <c r="H57" s="57"/>
      <c r="I57" s="57"/>
      <c r="J57" s="57"/>
      <c r="K57" s="57"/>
      <c r="L57" s="57"/>
      <c r="M57" s="57"/>
      <c r="N57" s="57"/>
      <c r="O57" s="57"/>
      <c r="P57" s="57"/>
      <c r="Q57" s="57"/>
      <c r="R57" s="57"/>
      <c r="S57" s="57"/>
      <c r="T57" s="57"/>
      <c r="U57" s="58"/>
    </row>
    <row r="58" spans="2:21" ht="39.75" customHeight="1" x14ac:dyDescent="0.2">
      <c r="B58" s="56" t="s">
        <v>232</v>
      </c>
      <c r="C58" s="57"/>
      <c r="D58" s="57"/>
      <c r="E58" s="57"/>
      <c r="F58" s="57"/>
      <c r="G58" s="57"/>
      <c r="H58" s="57"/>
      <c r="I58" s="57"/>
      <c r="J58" s="57"/>
      <c r="K58" s="57"/>
      <c r="L58" s="57"/>
      <c r="M58" s="57"/>
      <c r="N58" s="57"/>
      <c r="O58" s="57"/>
      <c r="P58" s="57"/>
      <c r="Q58" s="57"/>
      <c r="R58" s="57"/>
      <c r="S58" s="57"/>
      <c r="T58" s="57"/>
      <c r="U58" s="58"/>
    </row>
    <row r="59" spans="2:21" ht="45" customHeight="1" x14ac:dyDescent="0.2">
      <c r="B59" s="56" t="s">
        <v>233</v>
      </c>
      <c r="C59" s="57"/>
      <c r="D59" s="57"/>
      <c r="E59" s="57"/>
      <c r="F59" s="57"/>
      <c r="G59" s="57"/>
      <c r="H59" s="57"/>
      <c r="I59" s="57"/>
      <c r="J59" s="57"/>
      <c r="K59" s="57"/>
      <c r="L59" s="57"/>
      <c r="M59" s="57"/>
      <c r="N59" s="57"/>
      <c r="O59" s="57"/>
      <c r="P59" s="57"/>
      <c r="Q59" s="57"/>
      <c r="R59" s="57"/>
      <c r="S59" s="57"/>
      <c r="T59" s="57"/>
      <c r="U59" s="58"/>
    </row>
    <row r="60" spans="2:21" ht="86.25" customHeight="1" x14ac:dyDescent="0.2">
      <c r="B60" s="56" t="s">
        <v>234</v>
      </c>
      <c r="C60" s="57"/>
      <c r="D60" s="57"/>
      <c r="E60" s="57"/>
      <c r="F60" s="57"/>
      <c r="G60" s="57"/>
      <c r="H60" s="57"/>
      <c r="I60" s="57"/>
      <c r="J60" s="57"/>
      <c r="K60" s="57"/>
      <c r="L60" s="57"/>
      <c r="M60" s="57"/>
      <c r="N60" s="57"/>
      <c r="O60" s="57"/>
      <c r="P60" s="57"/>
      <c r="Q60" s="57"/>
      <c r="R60" s="57"/>
      <c r="S60" s="57"/>
      <c r="T60" s="57"/>
      <c r="U60" s="58"/>
    </row>
    <row r="61" spans="2:21" ht="89.25" customHeight="1" x14ac:dyDescent="0.2">
      <c r="B61" s="56" t="s">
        <v>235</v>
      </c>
      <c r="C61" s="57"/>
      <c r="D61" s="57"/>
      <c r="E61" s="57"/>
      <c r="F61" s="57"/>
      <c r="G61" s="57"/>
      <c r="H61" s="57"/>
      <c r="I61" s="57"/>
      <c r="J61" s="57"/>
      <c r="K61" s="57"/>
      <c r="L61" s="57"/>
      <c r="M61" s="57"/>
      <c r="N61" s="57"/>
      <c r="O61" s="57"/>
      <c r="P61" s="57"/>
      <c r="Q61" s="57"/>
      <c r="R61" s="57"/>
      <c r="S61" s="57"/>
      <c r="T61" s="57"/>
      <c r="U61" s="58"/>
    </row>
    <row r="62" spans="2:21" ht="93.75" customHeight="1" x14ac:dyDescent="0.2">
      <c r="B62" s="56" t="s">
        <v>236</v>
      </c>
      <c r="C62" s="57"/>
      <c r="D62" s="57"/>
      <c r="E62" s="57"/>
      <c r="F62" s="57"/>
      <c r="G62" s="57"/>
      <c r="H62" s="57"/>
      <c r="I62" s="57"/>
      <c r="J62" s="57"/>
      <c r="K62" s="57"/>
      <c r="L62" s="57"/>
      <c r="M62" s="57"/>
      <c r="N62" s="57"/>
      <c r="O62" s="57"/>
      <c r="P62" s="57"/>
      <c r="Q62" s="57"/>
      <c r="R62" s="57"/>
      <c r="S62" s="57"/>
      <c r="T62" s="57"/>
      <c r="U62" s="58"/>
    </row>
    <row r="63" spans="2:21" ht="61.5" customHeight="1" x14ac:dyDescent="0.2">
      <c r="B63" s="56" t="s">
        <v>237</v>
      </c>
      <c r="C63" s="57"/>
      <c r="D63" s="57"/>
      <c r="E63" s="57"/>
      <c r="F63" s="57"/>
      <c r="G63" s="57"/>
      <c r="H63" s="57"/>
      <c r="I63" s="57"/>
      <c r="J63" s="57"/>
      <c r="K63" s="57"/>
      <c r="L63" s="57"/>
      <c r="M63" s="57"/>
      <c r="N63" s="57"/>
      <c r="O63" s="57"/>
      <c r="P63" s="57"/>
      <c r="Q63" s="57"/>
      <c r="R63" s="57"/>
      <c r="S63" s="57"/>
      <c r="T63" s="57"/>
      <c r="U63" s="58"/>
    </row>
    <row r="64" spans="2:21" ht="92.25" customHeight="1" x14ac:dyDescent="0.2">
      <c r="B64" s="56" t="s">
        <v>238</v>
      </c>
      <c r="C64" s="57"/>
      <c r="D64" s="57"/>
      <c r="E64" s="57"/>
      <c r="F64" s="57"/>
      <c r="G64" s="57"/>
      <c r="H64" s="57"/>
      <c r="I64" s="57"/>
      <c r="J64" s="57"/>
      <c r="K64" s="57"/>
      <c r="L64" s="57"/>
      <c r="M64" s="57"/>
      <c r="N64" s="57"/>
      <c r="O64" s="57"/>
      <c r="P64" s="57"/>
      <c r="Q64" s="57"/>
      <c r="R64" s="57"/>
      <c r="S64" s="57"/>
      <c r="T64" s="57"/>
      <c r="U64" s="58"/>
    </row>
    <row r="65" spans="2:21" ht="126.75" customHeight="1" x14ac:dyDescent="0.2">
      <c r="B65" s="56" t="s">
        <v>239</v>
      </c>
      <c r="C65" s="57"/>
      <c r="D65" s="57"/>
      <c r="E65" s="57"/>
      <c r="F65" s="57"/>
      <c r="G65" s="57"/>
      <c r="H65" s="57"/>
      <c r="I65" s="57"/>
      <c r="J65" s="57"/>
      <c r="K65" s="57"/>
      <c r="L65" s="57"/>
      <c r="M65" s="57"/>
      <c r="N65" s="57"/>
      <c r="O65" s="57"/>
      <c r="P65" s="57"/>
      <c r="Q65" s="57"/>
      <c r="R65" s="57"/>
      <c r="S65" s="57"/>
      <c r="T65" s="57"/>
      <c r="U65" s="58"/>
    </row>
    <row r="66" spans="2:21" ht="48.75" customHeight="1" x14ac:dyDescent="0.2">
      <c r="B66" s="56" t="s">
        <v>240</v>
      </c>
      <c r="C66" s="57"/>
      <c r="D66" s="57"/>
      <c r="E66" s="57"/>
      <c r="F66" s="57"/>
      <c r="G66" s="57"/>
      <c r="H66" s="57"/>
      <c r="I66" s="57"/>
      <c r="J66" s="57"/>
      <c r="K66" s="57"/>
      <c r="L66" s="57"/>
      <c r="M66" s="57"/>
      <c r="N66" s="57"/>
      <c r="O66" s="57"/>
      <c r="P66" s="57"/>
      <c r="Q66" s="57"/>
      <c r="R66" s="57"/>
      <c r="S66" s="57"/>
      <c r="T66" s="57"/>
      <c r="U66" s="58"/>
    </row>
    <row r="67" spans="2:21" ht="68.25" customHeight="1" x14ac:dyDescent="0.2">
      <c r="B67" s="56" t="s">
        <v>241</v>
      </c>
      <c r="C67" s="57"/>
      <c r="D67" s="57"/>
      <c r="E67" s="57"/>
      <c r="F67" s="57"/>
      <c r="G67" s="57"/>
      <c r="H67" s="57"/>
      <c r="I67" s="57"/>
      <c r="J67" s="57"/>
      <c r="K67" s="57"/>
      <c r="L67" s="57"/>
      <c r="M67" s="57"/>
      <c r="N67" s="57"/>
      <c r="O67" s="57"/>
      <c r="P67" s="57"/>
      <c r="Q67" s="57"/>
      <c r="R67" s="57"/>
      <c r="S67" s="57"/>
      <c r="T67" s="57"/>
      <c r="U67" s="58"/>
    </row>
    <row r="68" spans="2:21" ht="55.5" customHeight="1" x14ac:dyDescent="0.2">
      <c r="B68" s="56" t="s">
        <v>242</v>
      </c>
      <c r="C68" s="57"/>
      <c r="D68" s="57"/>
      <c r="E68" s="57"/>
      <c r="F68" s="57"/>
      <c r="G68" s="57"/>
      <c r="H68" s="57"/>
      <c r="I68" s="57"/>
      <c r="J68" s="57"/>
      <c r="K68" s="57"/>
      <c r="L68" s="57"/>
      <c r="M68" s="57"/>
      <c r="N68" s="57"/>
      <c r="O68" s="57"/>
      <c r="P68" s="57"/>
      <c r="Q68" s="57"/>
      <c r="R68" s="57"/>
      <c r="S68" s="57"/>
      <c r="T68" s="57"/>
      <c r="U68" s="58"/>
    </row>
    <row r="69" spans="2:21" ht="82.5" customHeight="1" x14ac:dyDescent="0.2">
      <c r="B69" s="56" t="s">
        <v>243</v>
      </c>
      <c r="C69" s="57"/>
      <c r="D69" s="57"/>
      <c r="E69" s="57"/>
      <c r="F69" s="57"/>
      <c r="G69" s="57"/>
      <c r="H69" s="57"/>
      <c r="I69" s="57"/>
      <c r="J69" s="57"/>
      <c r="K69" s="57"/>
      <c r="L69" s="57"/>
      <c r="M69" s="57"/>
      <c r="N69" s="57"/>
      <c r="O69" s="57"/>
      <c r="P69" s="57"/>
      <c r="Q69" s="57"/>
      <c r="R69" s="57"/>
      <c r="S69" s="57"/>
      <c r="T69" s="57"/>
      <c r="U69" s="58"/>
    </row>
    <row r="70" spans="2:21" ht="56.25" customHeight="1" x14ac:dyDescent="0.2">
      <c r="B70" s="56" t="s">
        <v>244</v>
      </c>
      <c r="C70" s="57"/>
      <c r="D70" s="57"/>
      <c r="E70" s="57"/>
      <c r="F70" s="57"/>
      <c r="G70" s="57"/>
      <c r="H70" s="57"/>
      <c r="I70" s="57"/>
      <c r="J70" s="57"/>
      <c r="K70" s="57"/>
      <c r="L70" s="57"/>
      <c r="M70" s="57"/>
      <c r="N70" s="57"/>
      <c r="O70" s="57"/>
      <c r="P70" s="57"/>
      <c r="Q70" s="57"/>
      <c r="R70" s="57"/>
      <c r="S70" s="57"/>
      <c r="T70" s="57"/>
      <c r="U70" s="58"/>
    </row>
    <row r="71" spans="2:21" ht="67.5" customHeight="1" x14ac:dyDescent="0.2">
      <c r="B71" s="56" t="s">
        <v>245</v>
      </c>
      <c r="C71" s="57"/>
      <c r="D71" s="57"/>
      <c r="E71" s="57"/>
      <c r="F71" s="57"/>
      <c r="G71" s="57"/>
      <c r="H71" s="57"/>
      <c r="I71" s="57"/>
      <c r="J71" s="57"/>
      <c r="K71" s="57"/>
      <c r="L71" s="57"/>
      <c r="M71" s="57"/>
      <c r="N71" s="57"/>
      <c r="O71" s="57"/>
      <c r="P71" s="57"/>
      <c r="Q71" s="57"/>
      <c r="R71" s="57"/>
      <c r="S71" s="57"/>
      <c r="T71" s="57"/>
      <c r="U71" s="58"/>
    </row>
    <row r="72" spans="2:21" ht="66" customHeight="1" x14ac:dyDescent="0.2">
      <c r="B72" s="56" t="s">
        <v>246</v>
      </c>
      <c r="C72" s="57"/>
      <c r="D72" s="57"/>
      <c r="E72" s="57"/>
      <c r="F72" s="57"/>
      <c r="G72" s="57"/>
      <c r="H72" s="57"/>
      <c r="I72" s="57"/>
      <c r="J72" s="57"/>
      <c r="K72" s="57"/>
      <c r="L72" s="57"/>
      <c r="M72" s="57"/>
      <c r="N72" s="57"/>
      <c r="O72" s="57"/>
      <c r="P72" s="57"/>
      <c r="Q72" s="57"/>
      <c r="R72" s="57"/>
      <c r="S72" s="57"/>
      <c r="T72" s="57"/>
      <c r="U72" s="58"/>
    </row>
    <row r="73" spans="2:21" ht="92.25" customHeight="1" x14ac:dyDescent="0.2">
      <c r="B73" s="56" t="s">
        <v>247</v>
      </c>
      <c r="C73" s="57"/>
      <c r="D73" s="57"/>
      <c r="E73" s="57"/>
      <c r="F73" s="57"/>
      <c r="G73" s="57"/>
      <c r="H73" s="57"/>
      <c r="I73" s="57"/>
      <c r="J73" s="57"/>
      <c r="K73" s="57"/>
      <c r="L73" s="57"/>
      <c r="M73" s="57"/>
      <c r="N73" s="57"/>
      <c r="O73" s="57"/>
      <c r="P73" s="57"/>
      <c r="Q73" s="57"/>
      <c r="R73" s="57"/>
      <c r="S73" s="57"/>
      <c r="T73" s="57"/>
      <c r="U73" s="58"/>
    </row>
    <row r="74" spans="2:21" ht="77.45" customHeight="1" x14ac:dyDescent="0.2">
      <c r="B74" s="56" t="s">
        <v>248</v>
      </c>
      <c r="C74" s="57"/>
      <c r="D74" s="57"/>
      <c r="E74" s="57"/>
      <c r="F74" s="57"/>
      <c r="G74" s="57"/>
      <c r="H74" s="57"/>
      <c r="I74" s="57"/>
      <c r="J74" s="57"/>
      <c r="K74" s="57"/>
      <c r="L74" s="57"/>
      <c r="M74" s="57"/>
      <c r="N74" s="57"/>
      <c r="O74" s="57"/>
      <c r="P74" s="57"/>
      <c r="Q74" s="57"/>
      <c r="R74" s="57"/>
      <c r="S74" s="57"/>
      <c r="T74" s="57"/>
      <c r="U74" s="58"/>
    </row>
    <row r="75" spans="2:21" ht="143.25" customHeight="1" x14ac:dyDescent="0.2">
      <c r="B75" s="56" t="s">
        <v>249</v>
      </c>
      <c r="C75" s="57"/>
      <c r="D75" s="57"/>
      <c r="E75" s="57"/>
      <c r="F75" s="57"/>
      <c r="G75" s="57"/>
      <c r="H75" s="57"/>
      <c r="I75" s="57"/>
      <c r="J75" s="57"/>
      <c r="K75" s="57"/>
      <c r="L75" s="57"/>
      <c r="M75" s="57"/>
      <c r="N75" s="57"/>
      <c r="O75" s="57"/>
      <c r="P75" s="57"/>
      <c r="Q75" s="57"/>
      <c r="R75" s="57"/>
      <c r="S75" s="57"/>
      <c r="T75" s="57"/>
      <c r="U75" s="58"/>
    </row>
    <row r="76" spans="2:21" ht="106.5" customHeight="1" x14ac:dyDescent="0.2">
      <c r="B76" s="56" t="s">
        <v>250</v>
      </c>
      <c r="C76" s="57"/>
      <c r="D76" s="57"/>
      <c r="E76" s="57"/>
      <c r="F76" s="57"/>
      <c r="G76" s="57"/>
      <c r="H76" s="57"/>
      <c r="I76" s="57"/>
      <c r="J76" s="57"/>
      <c r="K76" s="57"/>
      <c r="L76" s="57"/>
      <c r="M76" s="57"/>
      <c r="N76" s="57"/>
      <c r="O76" s="57"/>
      <c r="P76" s="57"/>
      <c r="Q76" s="57"/>
      <c r="R76" s="57"/>
      <c r="S76" s="57"/>
      <c r="T76" s="57"/>
      <c r="U76" s="58"/>
    </row>
    <row r="77" spans="2:21" ht="105.75" customHeight="1" x14ac:dyDescent="0.2">
      <c r="B77" s="56" t="s">
        <v>251</v>
      </c>
      <c r="C77" s="57"/>
      <c r="D77" s="57"/>
      <c r="E77" s="57"/>
      <c r="F77" s="57"/>
      <c r="G77" s="57"/>
      <c r="H77" s="57"/>
      <c r="I77" s="57"/>
      <c r="J77" s="57"/>
      <c r="K77" s="57"/>
      <c r="L77" s="57"/>
      <c r="M77" s="57"/>
      <c r="N77" s="57"/>
      <c r="O77" s="57"/>
      <c r="P77" s="57"/>
      <c r="Q77" s="57"/>
      <c r="R77" s="57"/>
      <c r="S77" s="57"/>
      <c r="T77" s="57"/>
      <c r="U77" s="58"/>
    </row>
    <row r="78" spans="2:21" ht="111" customHeight="1" x14ac:dyDescent="0.2">
      <c r="B78" s="56" t="s">
        <v>252</v>
      </c>
      <c r="C78" s="57"/>
      <c r="D78" s="57"/>
      <c r="E78" s="57"/>
      <c r="F78" s="57"/>
      <c r="G78" s="57"/>
      <c r="H78" s="57"/>
      <c r="I78" s="57"/>
      <c r="J78" s="57"/>
      <c r="K78" s="57"/>
      <c r="L78" s="57"/>
      <c r="M78" s="57"/>
      <c r="N78" s="57"/>
      <c r="O78" s="57"/>
      <c r="P78" s="57"/>
      <c r="Q78" s="57"/>
      <c r="R78" s="57"/>
      <c r="S78" s="57"/>
      <c r="T78" s="57"/>
      <c r="U78" s="58"/>
    </row>
    <row r="79" spans="2:21" ht="108.75" customHeight="1" x14ac:dyDescent="0.2">
      <c r="B79" s="56" t="s">
        <v>253</v>
      </c>
      <c r="C79" s="57"/>
      <c r="D79" s="57"/>
      <c r="E79" s="57"/>
      <c r="F79" s="57"/>
      <c r="G79" s="57"/>
      <c r="H79" s="57"/>
      <c r="I79" s="57"/>
      <c r="J79" s="57"/>
      <c r="K79" s="57"/>
      <c r="L79" s="57"/>
      <c r="M79" s="57"/>
      <c r="N79" s="57"/>
      <c r="O79" s="57"/>
      <c r="P79" s="57"/>
      <c r="Q79" s="57"/>
      <c r="R79" s="57"/>
      <c r="S79" s="57"/>
      <c r="T79" s="57"/>
      <c r="U79" s="58"/>
    </row>
    <row r="80" spans="2:21" ht="74.25" customHeight="1" x14ac:dyDescent="0.2">
      <c r="B80" s="56" t="s">
        <v>247</v>
      </c>
      <c r="C80" s="57"/>
      <c r="D80" s="57"/>
      <c r="E80" s="57"/>
      <c r="F80" s="57"/>
      <c r="G80" s="57"/>
      <c r="H80" s="57"/>
      <c r="I80" s="57"/>
      <c r="J80" s="57"/>
      <c r="K80" s="57"/>
      <c r="L80" s="57"/>
      <c r="M80" s="57"/>
      <c r="N80" s="57"/>
      <c r="O80" s="57"/>
      <c r="P80" s="57"/>
      <c r="Q80" s="57"/>
      <c r="R80" s="57"/>
      <c r="S80" s="57"/>
      <c r="T80" s="57"/>
      <c r="U80" s="58"/>
    </row>
    <row r="81" spans="2:21" ht="86.25" customHeight="1" x14ac:dyDescent="0.2">
      <c r="B81" s="56" t="s">
        <v>254</v>
      </c>
      <c r="C81" s="57"/>
      <c r="D81" s="57"/>
      <c r="E81" s="57"/>
      <c r="F81" s="57"/>
      <c r="G81" s="57"/>
      <c r="H81" s="57"/>
      <c r="I81" s="57"/>
      <c r="J81" s="57"/>
      <c r="K81" s="57"/>
      <c r="L81" s="57"/>
      <c r="M81" s="57"/>
      <c r="N81" s="57"/>
      <c r="O81" s="57"/>
      <c r="P81" s="57"/>
      <c r="Q81" s="57"/>
      <c r="R81" s="57"/>
      <c r="S81" s="57"/>
      <c r="T81" s="57"/>
      <c r="U81" s="58"/>
    </row>
    <row r="82" spans="2:21" ht="57.75" customHeight="1" x14ac:dyDescent="0.2">
      <c r="B82" s="56" t="s">
        <v>255</v>
      </c>
      <c r="C82" s="57"/>
      <c r="D82" s="57"/>
      <c r="E82" s="57"/>
      <c r="F82" s="57"/>
      <c r="G82" s="57"/>
      <c r="H82" s="57"/>
      <c r="I82" s="57"/>
      <c r="J82" s="57"/>
      <c r="K82" s="57"/>
      <c r="L82" s="57"/>
      <c r="M82" s="57"/>
      <c r="N82" s="57"/>
      <c r="O82" s="57"/>
      <c r="P82" s="57"/>
      <c r="Q82" s="57"/>
      <c r="R82" s="57"/>
      <c r="S82" s="57"/>
      <c r="T82" s="57"/>
      <c r="U82" s="58"/>
    </row>
    <row r="83" spans="2:21" ht="68.25" customHeight="1" x14ac:dyDescent="0.2">
      <c r="B83" s="56" t="s">
        <v>256</v>
      </c>
      <c r="C83" s="57"/>
      <c r="D83" s="57"/>
      <c r="E83" s="57"/>
      <c r="F83" s="57"/>
      <c r="G83" s="57"/>
      <c r="H83" s="57"/>
      <c r="I83" s="57"/>
      <c r="J83" s="57"/>
      <c r="K83" s="57"/>
      <c r="L83" s="57"/>
      <c r="M83" s="57"/>
      <c r="N83" s="57"/>
      <c r="O83" s="57"/>
      <c r="P83" s="57"/>
      <c r="Q83" s="57"/>
      <c r="R83" s="57"/>
      <c r="S83" s="57"/>
      <c r="T83" s="57"/>
      <c r="U83" s="58"/>
    </row>
    <row r="84" spans="2:21" ht="79.5" customHeight="1" thickBot="1" x14ac:dyDescent="0.25">
      <c r="B84" s="59" t="s">
        <v>241</v>
      </c>
      <c r="C84" s="60"/>
      <c r="D84" s="60"/>
      <c r="E84" s="60"/>
      <c r="F84" s="60"/>
      <c r="G84" s="60"/>
      <c r="H84" s="60"/>
      <c r="I84" s="60"/>
      <c r="J84" s="60"/>
      <c r="K84" s="60"/>
      <c r="L84" s="60"/>
      <c r="M84" s="60"/>
      <c r="N84" s="60"/>
      <c r="O84" s="60"/>
      <c r="P84" s="60"/>
      <c r="Q84" s="60"/>
      <c r="R84" s="60"/>
      <c r="S84" s="60"/>
      <c r="T84" s="60"/>
      <c r="U84" s="61"/>
    </row>
  </sheetData>
  <mergeCells count="159">
    <mergeCell ref="B8:B10"/>
    <mergeCell ref="C8:H10"/>
    <mergeCell ref="I8:S8"/>
    <mergeCell ref="T8:U8"/>
    <mergeCell ref="I9:K10"/>
    <mergeCell ref="L9:O10"/>
    <mergeCell ref="B1:L1"/>
    <mergeCell ref="D4:H4"/>
    <mergeCell ref="L4:O4"/>
    <mergeCell ref="Q4:R4"/>
    <mergeCell ref="T4:U4"/>
    <mergeCell ref="B5:U5"/>
    <mergeCell ref="T9:T10"/>
    <mergeCell ref="U9:U10"/>
    <mergeCell ref="C6:G6"/>
    <mergeCell ref="K6:M6"/>
    <mergeCell ref="P6:Q6"/>
    <mergeCell ref="T6:U6"/>
    <mergeCell ref="C13:H13"/>
    <mergeCell ref="I13:K13"/>
    <mergeCell ref="L13:O13"/>
    <mergeCell ref="P9:P10"/>
    <mergeCell ref="Q9:Q10"/>
    <mergeCell ref="R9:S9"/>
    <mergeCell ref="C16:H16"/>
    <mergeCell ref="I16:K16"/>
    <mergeCell ref="L16:O16"/>
    <mergeCell ref="C11:H11"/>
    <mergeCell ref="I11:K11"/>
    <mergeCell ref="L11:O11"/>
    <mergeCell ref="C12:H12"/>
    <mergeCell ref="I12:K12"/>
    <mergeCell ref="L12:O12"/>
    <mergeCell ref="C17:H17"/>
    <mergeCell ref="I17:K17"/>
    <mergeCell ref="L17:O17"/>
    <mergeCell ref="C14:H14"/>
    <mergeCell ref="I14:K14"/>
    <mergeCell ref="L14:O14"/>
    <mergeCell ref="C15:H15"/>
    <mergeCell ref="I15:K15"/>
    <mergeCell ref="L15:O15"/>
    <mergeCell ref="C20:H20"/>
    <mergeCell ref="I20:K20"/>
    <mergeCell ref="L20:O20"/>
    <mergeCell ref="C21:H21"/>
    <mergeCell ref="I21:K21"/>
    <mergeCell ref="L21:O21"/>
    <mergeCell ref="C18:H18"/>
    <mergeCell ref="I18:K18"/>
    <mergeCell ref="L18:O18"/>
    <mergeCell ref="C19:H19"/>
    <mergeCell ref="I19:K19"/>
    <mergeCell ref="L19:O19"/>
    <mergeCell ref="C24:H24"/>
    <mergeCell ref="I24:K24"/>
    <mergeCell ref="L24:O24"/>
    <mergeCell ref="C25:H25"/>
    <mergeCell ref="I25:K25"/>
    <mergeCell ref="L25:O25"/>
    <mergeCell ref="C22:H22"/>
    <mergeCell ref="I22:K22"/>
    <mergeCell ref="L22:O22"/>
    <mergeCell ref="C23:H23"/>
    <mergeCell ref="I23:K23"/>
    <mergeCell ref="L23:O23"/>
    <mergeCell ref="C28:H28"/>
    <mergeCell ref="I28:K28"/>
    <mergeCell ref="L28:O28"/>
    <mergeCell ref="C29:H29"/>
    <mergeCell ref="I29:K29"/>
    <mergeCell ref="L29:O29"/>
    <mergeCell ref="C26:H26"/>
    <mergeCell ref="I26:K26"/>
    <mergeCell ref="L26:O26"/>
    <mergeCell ref="C27:H27"/>
    <mergeCell ref="I27:K27"/>
    <mergeCell ref="L27:O27"/>
    <mergeCell ref="C32:H32"/>
    <mergeCell ref="I32:K32"/>
    <mergeCell ref="L32:O32"/>
    <mergeCell ref="C33:H33"/>
    <mergeCell ref="I33:K33"/>
    <mergeCell ref="L33:O33"/>
    <mergeCell ref="C30:H30"/>
    <mergeCell ref="I30:K30"/>
    <mergeCell ref="L30:O30"/>
    <mergeCell ref="C31:H31"/>
    <mergeCell ref="I31:K31"/>
    <mergeCell ref="L31:O31"/>
    <mergeCell ref="C36:H36"/>
    <mergeCell ref="I36:K36"/>
    <mergeCell ref="L36:O36"/>
    <mergeCell ref="C37:H37"/>
    <mergeCell ref="I37:K37"/>
    <mergeCell ref="L37:O37"/>
    <mergeCell ref="C34:H34"/>
    <mergeCell ref="I34:K34"/>
    <mergeCell ref="L34:O34"/>
    <mergeCell ref="C35:H35"/>
    <mergeCell ref="I35:K35"/>
    <mergeCell ref="L35:O35"/>
    <mergeCell ref="C40:H40"/>
    <mergeCell ref="I40:K40"/>
    <mergeCell ref="L40:O40"/>
    <mergeCell ref="C41:H41"/>
    <mergeCell ref="I41:K41"/>
    <mergeCell ref="L41:O41"/>
    <mergeCell ref="C38:H38"/>
    <mergeCell ref="I38:K38"/>
    <mergeCell ref="L38:O38"/>
    <mergeCell ref="C39:H39"/>
    <mergeCell ref="I39:K39"/>
    <mergeCell ref="L39:O39"/>
    <mergeCell ref="C44:H44"/>
    <mergeCell ref="I44:K44"/>
    <mergeCell ref="L44:O44"/>
    <mergeCell ref="B48:D48"/>
    <mergeCell ref="B49:D49"/>
    <mergeCell ref="B51:U51"/>
    <mergeCell ref="C42:H42"/>
    <mergeCell ref="I42:K42"/>
    <mergeCell ref="L42:O42"/>
    <mergeCell ref="C43:H43"/>
    <mergeCell ref="I43:K43"/>
    <mergeCell ref="L43:O43"/>
    <mergeCell ref="B57:U57"/>
    <mergeCell ref="B58:U58"/>
    <mergeCell ref="B59:U59"/>
    <mergeCell ref="B60:U60"/>
    <mergeCell ref="B61:U61"/>
    <mergeCell ref="B62:U62"/>
    <mergeCell ref="B52:U52"/>
    <mergeCell ref="B53:U53"/>
    <mergeCell ref="B54:U54"/>
    <mergeCell ref="B55:U55"/>
    <mergeCell ref="B56:U56"/>
    <mergeCell ref="B69:U69"/>
    <mergeCell ref="B70:U70"/>
    <mergeCell ref="B71:U71"/>
    <mergeCell ref="B72:U72"/>
    <mergeCell ref="B73:U73"/>
    <mergeCell ref="B74:U74"/>
    <mergeCell ref="B63:U63"/>
    <mergeCell ref="B64:U64"/>
    <mergeCell ref="B65:U65"/>
    <mergeCell ref="B66:U66"/>
    <mergeCell ref="B67:U67"/>
    <mergeCell ref="B68:U68"/>
    <mergeCell ref="B81:U81"/>
    <mergeCell ref="B82:U82"/>
    <mergeCell ref="B83:U83"/>
    <mergeCell ref="B84:U84"/>
    <mergeCell ref="B75:U75"/>
    <mergeCell ref="B76:U76"/>
    <mergeCell ref="B77:U77"/>
    <mergeCell ref="B78:U78"/>
    <mergeCell ref="B79:U79"/>
    <mergeCell ref="B80:U80"/>
  </mergeCells>
  <printOptions horizontalCentered="1"/>
  <pageMargins left="0.78740157480314965" right="0.78740157480314965" top="0.98425196850393704" bottom="0.98425196850393704" header="0" footer="0.39370078740157483"/>
  <pageSetup scale="45"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6"/>
  <sheetViews>
    <sheetView topLeftCell="L22" zoomScale="80" zoomScaleNormal="80" zoomScaleSheetLayoutView="80" workbookViewId="0">
      <selection activeCell="S34" sqref="S34:U35"/>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3" style="1" customWidth="1"/>
    <col min="20" max="20" width="10.75" style="1" customWidth="1"/>
    <col min="21" max="21" width="11.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2" t="s">
        <v>0</v>
      </c>
      <c r="C1" s="52"/>
      <c r="D1" s="52"/>
      <c r="E1" s="52"/>
      <c r="F1" s="52"/>
      <c r="G1" s="52"/>
      <c r="H1" s="52"/>
      <c r="I1" s="52"/>
      <c r="J1" s="52"/>
      <c r="K1" s="52"/>
      <c r="L1" s="52"/>
      <c r="M1" s="3" t="s">
        <v>1</v>
      </c>
    </row>
    <row r="2" spans="1:21" ht="13.5" customHeight="1" thickBot="1" x14ac:dyDescent="0.25"/>
    <row r="3" spans="1:21" ht="20.2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9" t="s">
        <v>6</v>
      </c>
      <c r="C4" s="40" t="s">
        <v>257</v>
      </c>
      <c r="D4" s="90" t="s">
        <v>258</v>
      </c>
      <c r="E4" s="90"/>
      <c r="F4" s="90"/>
      <c r="G4" s="90"/>
      <c r="H4" s="90"/>
      <c r="I4" s="41"/>
      <c r="J4" s="42" t="s">
        <v>9</v>
      </c>
      <c r="K4" s="43" t="s">
        <v>10</v>
      </c>
      <c r="L4" s="91" t="s">
        <v>11</v>
      </c>
      <c r="M4" s="91"/>
      <c r="N4" s="91"/>
      <c r="O4" s="91"/>
      <c r="P4" s="42" t="s">
        <v>12</v>
      </c>
      <c r="Q4" s="91" t="s">
        <v>259</v>
      </c>
      <c r="R4" s="91"/>
      <c r="S4" s="42" t="s">
        <v>14</v>
      </c>
      <c r="T4" s="91" t="s">
        <v>260</v>
      </c>
      <c r="U4" s="92"/>
    </row>
    <row r="5" spans="1:21" ht="15.75" customHeight="1" x14ac:dyDescent="0.2">
      <c r="B5" s="93" t="s">
        <v>15</v>
      </c>
      <c r="C5" s="94"/>
      <c r="D5" s="94"/>
      <c r="E5" s="94"/>
      <c r="F5" s="94"/>
      <c r="G5" s="94"/>
      <c r="H5" s="94"/>
      <c r="I5" s="94"/>
      <c r="J5" s="94"/>
      <c r="K5" s="94"/>
      <c r="L5" s="94"/>
      <c r="M5" s="94"/>
      <c r="N5" s="94"/>
      <c r="O5" s="94"/>
      <c r="P5" s="94"/>
      <c r="Q5" s="94"/>
      <c r="R5" s="94"/>
      <c r="S5" s="94"/>
      <c r="T5" s="94"/>
      <c r="U5" s="95"/>
    </row>
    <row r="6" spans="1:21" ht="59.25" customHeight="1" thickBot="1" x14ac:dyDescent="0.25">
      <c r="B6" s="44" t="s">
        <v>16</v>
      </c>
      <c r="C6" s="98" t="s">
        <v>17</v>
      </c>
      <c r="D6" s="98"/>
      <c r="E6" s="98"/>
      <c r="F6" s="98"/>
      <c r="G6" s="98"/>
      <c r="H6" s="45"/>
      <c r="I6" s="45"/>
      <c r="J6" s="45" t="s">
        <v>18</v>
      </c>
      <c r="K6" s="98" t="s">
        <v>19</v>
      </c>
      <c r="L6" s="98"/>
      <c r="M6" s="98"/>
      <c r="N6" s="46"/>
      <c r="O6" s="45" t="s">
        <v>20</v>
      </c>
      <c r="P6" s="98" t="s">
        <v>21</v>
      </c>
      <c r="Q6" s="98"/>
      <c r="R6" s="47"/>
      <c r="S6" s="45" t="s">
        <v>22</v>
      </c>
      <c r="T6" s="98" t="s">
        <v>23</v>
      </c>
      <c r="U6" s="99"/>
    </row>
    <row r="7" spans="1:21" ht="2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5" t="s">
        <v>25</v>
      </c>
      <c r="C8" s="71" t="s">
        <v>26</v>
      </c>
      <c r="D8" s="71"/>
      <c r="E8" s="71"/>
      <c r="F8" s="71"/>
      <c r="G8" s="71"/>
      <c r="H8" s="78"/>
      <c r="I8" s="83" t="s">
        <v>27</v>
      </c>
      <c r="J8" s="84"/>
      <c r="K8" s="84"/>
      <c r="L8" s="84"/>
      <c r="M8" s="84"/>
      <c r="N8" s="84"/>
      <c r="O8" s="84"/>
      <c r="P8" s="84"/>
      <c r="Q8" s="84"/>
      <c r="R8" s="84"/>
      <c r="S8" s="85"/>
      <c r="T8" s="86" t="s">
        <v>28</v>
      </c>
      <c r="U8" s="87"/>
    </row>
    <row r="9" spans="1:21" ht="19.5" customHeight="1" x14ac:dyDescent="0.2">
      <c r="B9" s="76"/>
      <c r="C9" s="79"/>
      <c r="D9" s="79"/>
      <c r="E9" s="79"/>
      <c r="F9" s="79"/>
      <c r="G9" s="79"/>
      <c r="H9" s="80"/>
      <c r="I9" s="88" t="s">
        <v>29</v>
      </c>
      <c r="J9" s="71"/>
      <c r="K9" s="71"/>
      <c r="L9" s="71" t="s">
        <v>30</v>
      </c>
      <c r="M9" s="71"/>
      <c r="N9" s="71"/>
      <c r="O9" s="71"/>
      <c r="P9" s="71" t="s">
        <v>31</v>
      </c>
      <c r="Q9" s="71" t="s">
        <v>32</v>
      </c>
      <c r="R9" s="73" t="s">
        <v>33</v>
      </c>
      <c r="S9" s="74"/>
      <c r="T9" s="71" t="s">
        <v>34</v>
      </c>
      <c r="U9" s="96" t="s">
        <v>35</v>
      </c>
    </row>
    <row r="10" spans="1:21" ht="43.5" customHeight="1" thickBot="1" x14ac:dyDescent="0.25">
      <c r="B10" s="77"/>
      <c r="C10" s="81"/>
      <c r="D10" s="81"/>
      <c r="E10" s="81"/>
      <c r="F10" s="81"/>
      <c r="G10" s="81"/>
      <c r="H10" s="82"/>
      <c r="I10" s="89"/>
      <c r="J10" s="72"/>
      <c r="K10" s="72"/>
      <c r="L10" s="72"/>
      <c r="M10" s="72"/>
      <c r="N10" s="72"/>
      <c r="O10" s="72"/>
      <c r="P10" s="72"/>
      <c r="Q10" s="72"/>
      <c r="R10" s="9" t="s">
        <v>36</v>
      </c>
      <c r="S10" s="10" t="s">
        <v>37</v>
      </c>
      <c r="T10" s="72"/>
      <c r="U10" s="97"/>
    </row>
    <row r="11" spans="1:21" ht="132.75" customHeight="1" thickTop="1" thickBot="1" x14ac:dyDescent="0.25">
      <c r="A11" s="11"/>
      <c r="B11" s="12" t="s">
        <v>38</v>
      </c>
      <c r="C11" s="70" t="s">
        <v>261</v>
      </c>
      <c r="D11" s="70"/>
      <c r="E11" s="70"/>
      <c r="F11" s="70"/>
      <c r="G11" s="70"/>
      <c r="H11" s="70"/>
      <c r="I11" s="70" t="s">
        <v>262</v>
      </c>
      <c r="J11" s="70"/>
      <c r="K11" s="70"/>
      <c r="L11" s="70" t="s">
        <v>263</v>
      </c>
      <c r="M11" s="70"/>
      <c r="N11" s="70"/>
      <c r="O11" s="70"/>
      <c r="P11" s="13" t="s">
        <v>49</v>
      </c>
      <c r="Q11" s="13" t="s">
        <v>43</v>
      </c>
      <c r="R11" s="13">
        <v>5</v>
      </c>
      <c r="S11" s="13">
        <v>5</v>
      </c>
      <c r="T11" s="13" t="s">
        <v>44</v>
      </c>
      <c r="U11" s="48" t="str">
        <f>"N/A"</f>
        <v>N/A</v>
      </c>
    </row>
    <row r="12" spans="1:21" ht="133.5" customHeight="1" thickTop="1" thickBot="1" x14ac:dyDescent="0.25">
      <c r="A12" s="11"/>
      <c r="B12" s="12" t="s">
        <v>45</v>
      </c>
      <c r="C12" s="70" t="s">
        <v>264</v>
      </c>
      <c r="D12" s="70"/>
      <c r="E12" s="70"/>
      <c r="F12" s="70"/>
      <c r="G12" s="70"/>
      <c r="H12" s="70"/>
      <c r="I12" s="70" t="s">
        <v>265</v>
      </c>
      <c r="J12" s="70"/>
      <c r="K12" s="70"/>
      <c r="L12" s="70" t="s">
        <v>266</v>
      </c>
      <c r="M12" s="70"/>
      <c r="N12" s="70"/>
      <c r="O12" s="70"/>
      <c r="P12" s="13" t="s">
        <v>49</v>
      </c>
      <c r="Q12" s="13" t="s">
        <v>50</v>
      </c>
      <c r="R12" s="13">
        <v>74</v>
      </c>
      <c r="S12" s="13">
        <v>77.17</v>
      </c>
      <c r="T12" s="13">
        <v>87.9</v>
      </c>
      <c r="U12" s="48">
        <f>114</f>
        <v>114</v>
      </c>
    </row>
    <row r="13" spans="1:21" ht="107.25" customHeight="1" thickTop="1" x14ac:dyDescent="0.2">
      <c r="A13" s="11"/>
      <c r="B13" s="12" t="s">
        <v>54</v>
      </c>
      <c r="C13" s="70" t="s">
        <v>267</v>
      </c>
      <c r="D13" s="70"/>
      <c r="E13" s="70"/>
      <c r="F13" s="70"/>
      <c r="G13" s="70"/>
      <c r="H13" s="70"/>
      <c r="I13" s="70" t="s">
        <v>268</v>
      </c>
      <c r="J13" s="70"/>
      <c r="K13" s="70"/>
      <c r="L13" s="70" t="s">
        <v>269</v>
      </c>
      <c r="M13" s="70"/>
      <c r="N13" s="70"/>
      <c r="O13" s="70"/>
      <c r="P13" s="13" t="s">
        <v>49</v>
      </c>
      <c r="Q13" s="13" t="s">
        <v>61</v>
      </c>
      <c r="R13" s="13">
        <v>80</v>
      </c>
      <c r="S13" s="13">
        <v>84.67</v>
      </c>
      <c r="T13" s="13">
        <v>96.36</v>
      </c>
      <c r="U13" s="48">
        <f>113.8</f>
        <v>113.8</v>
      </c>
    </row>
    <row r="14" spans="1:21" ht="131.25" customHeight="1" x14ac:dyDescent="0.2">
      <c r="A14" s="11"/>
      <c r="B14" s="14" t="s">
        <v>51</v>
      </c>
      <c r="C14" s="62" t="s">
        <v>270</v>
      </c>
      <c r="D14" s="62"/>
      <c r="E14" s="62"/>
      <c r="F14" s="62"/>
      <c r="G14" s="62"/>
      <c r="H14" s="62"/>
      <c r="I14" s="62" t="s">
        <v>271</v>
      </c>
      <c r="J14" s="62"/>
      <c r="K14" s="62"/>
      <c r="L14" s="62" t="s">
        <v>272</v>
      </c>
      <c r="M14" s="62"/>
      <c r="N14" s="62"/>
      <c r="O14" s="62"/>
      <c r="P14" s="15" t="s">
        <v>49</v>
      </c>
      <c r="Q14" s="15" t="s">
        <v>50</v>
      </c>
      <c r="R14" s="15">
        <v>80</v>
      </c>
      <c r="S14" s="15">
        <v>80</v>
      </c>
      <c r="T14" s="15">
        <v>95</v>
      </c>
      <c r="U14" s="49">
        <f>118.75</f>
        <v>118.75</v>
      </c>
    </row>
    <row r="15" spans="1:21" ht="128.25" customHeight="1" x14ac:dyDescent="0.2">
      <c r="A15" s="11"/>
      <c r="B15" s="14" t="s">
        <v>51</v>
      </c>
      <c r="C15" s="62" t="s">
        <v>273</v>
      </c>
      <c r="D15" s="62"/>
      <c r="E15" s="62"/>
      <c r="F15" s="62"/>
      <c r="G15" s="62"/>
      <c r="H15" s="62"/>
      <c r="I15" s="62" t="s">
        <v>274</v>
      </c>
      <c r="J15" s="62"/>
      <c r="K15" s="62"/>
      <c r="L15" s="62" t="s">
        <v>275</v>
      </c>
      <c r="M15" s="62"/>
      <c r="N15" s="62"/>
      <c r="O15" s="62"/>
      <c r="P15" s="15" t="s">
        <v>49</v>
      </c>
      <c r="Q15" s="15" t="s">
        <v>50</v>
      </c>
      <c r="R15" s="15">
        <v>74</v>
      </c>
      <c r="S15" s="15">
        <v>75</v>
      </c>
      <c r="T15" s="15">
        <v>82</v>
      </c>
      <c r="U15" s="49">
        <f>109.33</f>
        <v>109.33</v>
      </c>
    </row>
    <row r="16" spans="1:21" ht="98.25" customHeight="1" x14ac:dyDescent="0.2">
      <c r="A16" s="11"/>
      <c r="B16" s="14" t="s">
        <v>51</v>
      </c>
      <c r="C16" s="62" t="s">
        <v>276</v>
      </c>
      <c r="D16" s="62"/>
      <c r="E16" s="62"/>
      <c r="F16" s="62"/>
      <c r="G16" s="62"/>
      <c r="H16" s="62"/>
      <c r="I16" s="62" t="s">
        <v>277</v>
      </c>
      <c r="J16" s="62"/>
      <c r="K16" s="62"/>
      <c r="L16" s="62" t="s">
        <v>278</v>
      </c>
      <c r="M16" s="62"/>
      <c r="N16" s="62"/>
      <c r="O16" s="62"/>
      <c r="P16" s="15" t="s">
        <v>49</v>
      </c>
      <c r="Q16" s="15" t="s">
        <v>50</v>
      </c>
      <c r="R16" s="15">
        <v>30</v>
      </c>
      <c r="S16" s="15">
        <v>45.83</v>
      </c>
      <c r="T16" s="15">
        <v>22.68</v>
      </c>
      <c r="U16" s="49">
        <f>49.48</f>
        <v>49.48</v>
      </c>
    </row>
    <row r="17" spans="1:22" ht="83.25" customHeight="1" x14ac:dyDescent="0.2">
      <c r="A17" s="11"/>
      <c r="B17" s="14" t="s">
        <v>51</v>
      </c>
      <c r="C17" s="62" t="s">
        <v>51</v>
      </c>
      <c r="D17" s="62"/>
      <c r="E17" s="62"/>
      <c r="F17" s="62"/>
      <c r="G17" s="62"/>
      <c r="H17" s="62"/>
      <c r="I17" s="62" t="s">
        <v>279</v>
      </c>
      <c r="J17" s="62"/>
      <c r="K17" s="62"/>
      <c r="L17" s="62" t="s">
        <v>280</v>
      </c>
      <c r="M17" s="62"/>
      <c r="N17" s="62"/>
      <c r="O17" s="62"/>
      <c r="P17" s="15" t="s">
        <v>49</v>
      </c>
      <c r="Q17" s="15" t="s">
        <v>50</v>
      </c>
      <c r="R17" s="15">
        <v>97.78</v>
      </c>
      <c r="S17" s="15">
        <v>97.44</v>
      </c>
      <c r="T17" s="15">
        <v>84.62</v>
      </c>
      <c r="U17" s="49">
        <f>86.84</f>
        <v>86.84</v>
      </c>
    </row>
    <row r="18" spans="1:22" ht="75" customHeight="1" thickBot="1" x14ac:dyDescent="0.25">
      <c r="A18" s="11"/>
      <c r="B18" s="14" t="s">
        <v>51</v>
      </c>
      <c r="C18" s="62" t="s">
        <v>51</v>
      </c>
      <c r="D18" s="62"/>
      <c r="E18" s="62"/>
      <c r="F18" s="62"/>
      <c r="G18" s="62"/>
      <c r="H18" s="62"/>
      <c r="I18" s="62" t="s">
        <v>281</v>
      </c>
      <c r="J18" s="62"/>
      <c r="K18" s="62"/>
      <c r="L18" s="62" t="s">
        <v>282</v>
      </c>
      <c r="M18" s="62"/>
      <c r="N18" s="62"/>
      <c r="O18" s="62"/>
      <c r="P18" s="15" t="s">
        <v>49</v>
      </c>
      <c r="Q18" s="15" t="s">
        <v>70</v>
      </c>
      <c r="R18" s="15">
        <v>90.08</v>
      </c>
      <c r="S18" s="15">
        <v>90.08</v>
      </c>
      <c r="T18" s="15">
        <v>88.98</v>
      </c>
      <c r="U18" s="49">
        <f>98.77</f>
        <v>98.77</v>
      </c>
    </row>
    <row r="19" spans="1:22" ht="75" customHeight="1" thickTop="1" x14ac:dyDescent="0.2">
      <c r="A19" s="11"/>
      <c r="B19" s="12" t="s">
        <v>76</v>
      </c>
      <c r="C19" s="70" t="s">
        <v>283</v>
      </c>
      <c r="D19" s="70"/>
      <c r="E19" s="70"/>
      <c r="F19" s="70"/>
      <c r="G19" s="70"/>
      <c r="H19" s="70"/>
      <c r="I19" s="70" t="s">
        <v>284</v>
      </c>
      <c r="J19" s="70"/>
      <c r="K19" s="70"/>
      <c r="L19" s="70" t="s">
        <v>285</v>
      </c>
      <c r="M19" s="70"/>
      <c r="N19" s="70"/>
      <c r="O19" s="70"/>
      <c r="P19" s="13" t="s">
        <v>49</v>
      </c>
      <c r="Q19" s="13" t="s">
        <v>286</v>
      </c>
      <c r="R19" s="13">
        <v>80</v>
      </c>
      <c r="S19" s="13">
        <v>94.93</v>
      </c>
      <c r="T19" s="13">
        <v>100</v>
      </c>
      <c r="U19" s="48">
        <f>105.34</f>
        <v>105.34</v>
      </c>
    </row>
    <row r="20" spans="1:22" ht="108" customHeight="1" x14ac:dyDescent="0.2">
      <c r="A20" s="11"/>
      <c r="B20" s="14" t="s">
        <v>51</v>
      </c>
      <c r="C20" s="62" t="s">
        <v>287</v>
      </c>
      <c r="D20" s="62"/>
      <c r="E20" s="62"/>
      <c r="F20" s="62"/>
      <c r="G20" s="62"/>
      <c r="H20" s="62"/>
      <c r="I20" s="62" t="s">
        <v>288</v>
      </c>
      <c r="J20" s="62"/>
      <c r="K20" s="62"/>
      <c r="L20" s="62" t="s">
        <v>289</v>
      </c>
      <c r="M20" s="62"/>
      <c r="N20" s="62"/>
      <c r="O20" s="62"/>
      <c r="P20" s="15" t="s">
        <v>49</v>
      </c>
      <c r="Q20" s="15" t="s">
        <v>290</v>
      </c>
      <c r="R20" s="15">
        <v>70</v>
      </c>
      <c r="S20" s="15">
        <v>75</v>
      </c>
      <c r="T20" s="15">
        <v>84</v>
      </c>
      <c r="U20" s="49">
        <f>112</f>
        <v>112</v>
      </c>
    </row>
    <row r="21" spans="1:22" ht="105" customHeight="1" x14ac:dyDescent="0.2">
      <c r="A21" s="11"/>
      <c r="B21" s="14" t="s">
        <v>51</v>
      </c>
      <c r="C21" s="62" t="s">
        <v>291</v>
      </c>
      <c r="D21" s="62"/>
      <c r="E21" s="62"/>
      <c r="F21" s="62"/>
      <c r="G21" s="62"/>
      <c r="H21" s="62"/>
      <c r="I21" s="62" t="s">
        <v>292</v>
      </c>
      <c r="J21" s="62"/>
      <c r="K21" s="62"/>
      <c r="L21" s="62" t="s">
        <v>293</v>
      </c>
      <c r="M21" s="62"/>
      <c r="N21" s="62"/>
      <c r="O21" s="62"/>
      <c r="P21" s="15" t="s">
        <v>49</v>
      </c>
      <c r="Q21" s="15" t="s">
        <v>290</v>
      </c>
      <c r="R21" s="15">
        <v>83</v>
      </c>
      <c r="S21" s="15">
        <v>83</v>
      </c>
      <c r="T21" s="15">
        <v>86</v>
      </c>
      <c r="U21" s="49">
        <f>103.61</f>
        <v>103.61</v>
      </c>
    </row>
    <row r="22" spans="1:22" ht="114.75" customHeight="1" x14ac:dyDescent="0.2">
      <c r="A22" s="11"/>
      <c r="B22" s="14" t="s">
        <v>51</v>
      </c>
      <c r="C22" s="62" t="s">
        <v>294</v>
      </c>
      <c r="D22" s="62"/>
      <c r="E22" s="62"/>
      <c r="F22" s="62"/>
      <c r="G22" s="62"/>
      <c r="H22" s="62"/>
      <c r="I22" s="62" t="s">
        <v>295</v>
      </c>
      <c r="J22" s="62"/>
      <c r="K22" s="62"/>
      <c r="L22" s="62" t="s">
        <v>296</v>
      </c>
      <c r="M22" s="62"/>
      <c r="N22" s="62"/>
      <c r="O22" s="62"/>
      <c r="P22" s="15" t="s">
        <v>49</v>
      </c>
      <c r="Q22" s="15" t="s">
        <v>166</v>
      </c>
      <c r="R22" s="15" t="s">
        <v>44</v>
      </c>
      <c r="S22" s="15">
        <v>100</v>
      </c>
      <c r="T22" s="15">
        <v>94.7</v>
      </c>
      <c r="U22" s="49">
        <f>94.7</f>
        <v>94.7</v>
      </c>
    </row>
    <row r="23" spans="1:22" ht="75" customHeight="1" x14ac:dyDescent="0.2">
      <c r="A23" s="11"/>
      <c r="B23" s="14" t="s">
        <v>51</v>
      </c>
      <c r="C23" s="62" t="s">
        <v>297</v>
      </c>
      <c r="D23" s="62"/>
      <c r="E23" s="62"/>
      <c r="F23" s="62"/>
      <c r="G23" s="62"/>
      <c r="H23" s="62"/>
      <c r="I23" s="62" t="s">
        <v>298</v>
      </c>
      <c r="J23" s="62"/>
      <c r="K23" s="62"/>
      <c r="L23" s="62" t="s">
        <v>299</v>
      </c>
      <c r="M23" s="62"/>
      <c r="N23" s="62"/>
      <c r="O23" s="62"/>
      <c r="P23" s="15" t="s">
        <v>49</v>
      </c>
      <c r="Q23" s="15" t="s">
        <v>64</v>
      </c>
      <c r="R23" s="15">
        <v>75.56</v>
      </c>
      <c r="S23" s="15">
        <v>97.44</v>
      </c>
      <c r="T23" s="15">
        <v>84.62</v>
      </c>
      <c r="U23" s="49">
        <f>86.84</f>
        <v>86.84</v>
      </c>
    </row>
    <row r="24" spans="1:22" ht="75" customHeight="1" x14ac:dyDescent="0.2">
      <c r="A24" s="11"/>
      <c r="B24" s="14" t="s">
        <v>51</v>
      </c>
      <c r="C24" s="62" t="s">
        <v>300</v>
      </c>
      <c r="D24" s="62"/>
      <c r="E24" s="62"/>
      <c r="F24" s="62"/>
      <c r="G24" s="62"/>
      <c r="H24" s="62"/>
      <c r="I24" s="62" t="s">
        <v>301</v>
      </c>
      <c r="J24" s="62"/>
      <c r="K24" s="62"/>
      <c r="L24" s="62" t="s">
        <v>302</v>
      </c>
      <c r="M24" s="62"/>
      <c r="N24" s="62"/>
      <c r="O24" s="62"/>
      <c r="P24" s="15" t="s">
        <v>49</v>
      </c>
      <c r="Q24" s="15" t="s">
        <v>61</v>
      </c>
      <c r="R24" s="15">
        <v>70</v>
      </c>
      <c r="S24" s="15">
        <v>40</v>
      </c>
      <c r="T24" s="15">
        <v>43</v>
      </c>
      <c r="U24" s="49">
        <f>107.5</f>
        <v>107.5</v>
      </c>
    </row>
    <row r="25" spans="1:22" ht="129" customHeight="1" thickBot="1" x14ac:dyDescent="0.25">
      <c r="A25" s="11"/>
      <c r="B25" s="14" t="s">
        <v>51</v>
      </c>
      <c r="C25" s="62" t="s">
        <v>303</v>
      </c>
      <c r="D25" s="62"/>
      <c r="E25" s="62"/>
      <c r="F25" s="62"/>
      <c r="G25" s="62"/>
      <c r="H25" s="62"/>
      <c r="I25" s="62" t="s">
        <v>304</v>
      </c>
      <c r="J25" s="62"/>
      <c r="K25" s="62"/>
      <c r="L25" s="62" t="s">
        <v>305</v>
      </c>
      <c r="M25" s="62"/>
      <c r="N25" s="62"/>
      <c r="O25" s="62"/>
      <c r="P25" s="15" t="s">
        <v>49</v>
      </c>
      <c r="Q25" s="15" t="s">
        <v>64</v>
      </c>
      <c r="R25" s="15">
        <v>86.67</v>
      </c>
      <c r="S25" s="15">
        <v>97.44</v>
      </c>
      <c r="T25" s="15">
        <v>84.62</v>
      </c>
      <c r="U25" s="49">
        <f>86.84</f>
        <v>86.84</v>
      </c>
    </row>
    <row r="26" spans="1:22" ht="18" customHeight="1" thickTop="1" thickBot="1" x14ac:dyDescent="0.25">
      <c r="B26" s="4" t="s">
        <v>108</v>
      </c>
      <c r="C26" s="5"/>
      <c r="D26" s="5"/>
      <c r="E26" s="5"/>
      <c r="F26" s="5"/>
      <c r="G26" s="5"/>
      <c r="H26" s="6"/>
      <c r="I26" s="6"/>
      <c r="J26" s="6"/>
      <c r="K26" s="6"/>
      <c r="L26" s="6"/>
      <c r="M26" s="6"/>
      <c r="N26" s="6"/>
      <c r="O26" s="6"/>
      <c r="P26" s="6"/>
      <c r="Q26" s="6"/>
      <c r="R26" s="6"/>
      <c r="S26" s="6"/>
      <c r="T26" s="6"/>
      <c r="U26" s="7"/>
      <c r="V26" s="16"/>
    </row>
    <row r="27" spans="1:22" ht="26.25" customHeight="1" thickTop="1" x14ac:dyDescent="0.2">
      <c r="B27" s="17"/>
      <c r="C27" s="18"/>
      <c r="D27" s="18"/>
      <c r="E27" s="18"/>
      <c r="F27" s="18"/>
      <c r="G27" s="18"/>
      <c r="H27" s="19"/>
      <c r="I27" s="19"/>
      <c r="J27" s="19"/>
      <c r="K27" s="19"/>
      <c r="L27" s="19"/>
      <c r="M27" s="19"/>
      <c r="N27" s="19"/>
      <c r="O27" s="19"/>
      <c r="P27" s="19"/>
      <c r="Q27" s="19"/>
      <c r="R27" s="20"/>
      <c r="S27" s="21" t="s">
        <v>33</v>
      </c>
      <c r="T27" s="21" t="s">
        <v>109</v>
      </c>
      <c r="U27" s="8" t="s">
        <v>110</v>
      </c>
    </row>
    <row r="28" spans="1:22" ht="39.75" customHeight="1" thickBot="1" x14ac:dyDescent="0.25">
      <c r="B28" s="22"/>
      <c r="C28" s="23"/>
      <c r="D28" s="23"/>
      <c r="E28" s="23"/>
      <c r="F28" s="23"/>
      <c r="G28" s="23"/>
      <c r="H28" s="24"/>
      <c r="I28" s="24"/>
      <c r="J28" s="24"/>
      <c r="K28" s="24"/>
      <c r="L28" s="24"/>
      <c r="M28" s="24"/>
      <c r="N28" s="24"/>
      <c r="O28" s="24"/>
      <c r="P28" s="24"/>
      <c r="Q28" s="24"/>
      <c r="R28" s="24"/>
      <c r="S28" s="25" t="s">
        <v>111</v>
      </c>
      <c r="T28" s="26" t="s">
        <v>111</v>
      </c>
      <c r="U28" s="26" t="s">
        <v>112</v>
      </c>
    </row>
    <row r="29" spans="1:22" ht="15.75" customHeight="1" thickBot="1" x14ac:dyDescent="0.25">
      <c r="B29" s="63" t="s">
        <v>113</v>
      </c>
      <c r="C29" s="64"/>
      <c r="D29" s="64"/>
      <c r="E29" s="27"/>
      <c r="F29" s="27"/>
      <c r="G29" s="27"/>
      <c r="H29" s="28"/>
      <c r="I29" s="28"/>
      <c r="J29" s="28"/>
      <c r="K29" s="28"/>
      <c r="L29" s="28"/>
      <c r="M29" s="28"/>
      <c r="N29" s="28"/>
      <c r="O29" s="28"/>
      <c r="P29" s="29"/>
      <c r="Q29" s="29"/>
      <c r="R29" s="29"/>
      <c r="S29" s="50">
        <v>4570</v>
      </c>
      <c r="T29" s="50">
        <v>4431.1968395799977</v>
      </c>
      <c r="U29" s="51">
        <f>+IF(ISERR(T29/S29*100),"N/A",ROUND(T29/S29*100,1))</f>
        <v>97</v>
      </c>
    </row>
    <row r="30" spans="1:22" ht="15.75" customHeight="1" thickBot="1" x14ac:dyDescent="0.25">
      <c r="B30" s="65" t="s">
        <v>114</v>
      </c>
      <c r="C30" s="66"/>
      <c r="D30" s="66"/>
      <c r="E30" s="30"/>
      <c r="F30" s="30"/>
      <c r="G30" s="30"/>
      <c r="H30" s="31"/>
      <c r="I30" s="31"/>
      <c r="J30" s="31"/>
      <c r="K30" s="31"/>
      <c r="L30" s="31"/>
      <c r="M30" s="31"/>
      <c r="N30" s="31"/>
      <c r="O30" s="31"/>
      <c r="P30" s="32"/>
      <c r="Q30" s="32"/>
      <c r="R30" s="32"/>
      <c r="S30" s="50">
        <v>4431.2051743799984</v>
      </c>
      <c r="T30" s="50">
        <v>4431.1968395799977</v>
      </c>
      <c r="U30" s="51">
        <f>+IF(ISERR(T30/S30*100),"N/A",ROUND(T30/S30*100,1))</f>
        <v>100</v>
      </c>
    </row>
    <row r="31" spans="1:22" ht="14.85" customHeight="1" thickTop="1" thickBot="1" x14ac:dyDescent="0.25">
      <c r="B31" s="4" t="s">
        <v>115</v>
      </c>
      <c r="C31" s="5"/>
      <c r="D31" s="5"/>
      <c r="E31" s="5"/>
      <c r="F31" s="5"/>
      <c r="G31" s="5"/>
      <c r="H31" s="6"/>
      <c r="I31" s="6"/>
      <c r="J31" s="6"/>
      <c r="K31" s="6"/>
      <c r="L31" s="6"/>
      <c r="M31" s="6"/>
      <c r="N31" s="6"/>
      <c r="O31" s="6"/>
      <c r="P31" s="6"/>
      <c r="Q31" s="6"/>
      <c r="R31" s="6"/>
      <c r="S31" s="6"/>
      <c r="T31" s="6"/>
      <c r="U31" s="7"/>
    </row>
    <row r="32" spans="1:22" ht="44.25" customHeight="1" thickTop="1" x14ac:dyDescent="0.2">
      <c r="B32" s="67" t="s">
        <v>116</v>
      </c>
      <c r="C32" s="68"/>
      <c r="D32" s="68"/>
      <c r="E32" s="68"/>
      <c r="F32" s="68"/>
      <c r="G32" s="68"/>
      <c r="H32" s="68"/>
      <c r="I32" s="68"/>
      <c r="J32" s="68"/>
      <c r="K32" s="68"/>
      <c r="L32" s="68"/>
      <c r="M32" s="68"/>
      <c r="N32" s="68"/>
      <c r="O32" s="68"/>
      <c r="P32" s="68"/>
      <c r="Q32" s="68"/>
      <c r="R32" s="68"/>
      <c r="S32" s="68"/>
      <c r="T32" s="68"/>
      <c r="U32" s="69"/>
    </row>
    <row r="33" spans="2:21" ht="87.75" customHeight="1" x14ac:dyDescent="0.2">
      <c r="B33" s="56" t="s">
        <v>306</v>
      </c>
      <c r="C33" s="57"/>
      <c r="D33" s="57"/>
      <c r="E33" s="57"/>
      <c r="F33" s="57"/>
      <c r="G33" s="57"/>
      <c r="H33" s="57"/>
      <c r="I33" s="57"/>
      <c r="J33" s="57"/>
      <c r="K33" s="57"/>
      <c r="L33" s="57"/>
      <c r="M33" s="57"/>
      <c r="N33" s="57"/>
      <c r="O33" s="57"/>
      <c r="P33" s="57"/>
      <c r="Q33" s="57"/>
      <c r="R33" s="57"/>
      <c r="S33" s="57"/>
      <c r="T33" s="57"/>
      <c r="U33" s="58"/>
    </row>
    <row r="34" spans="2:21" ht="62.25" customHeight="1" x14ac:dyDescent="0.2">
      <c r="B34" s="56" t="s">
        <v>307</v>
      </c>
      <c r="C34" s="57"/>
      <c r="D34" s="57"/>
      <c r="E34" s="57"/>
      <c r="F34" s="57"/>
      <c r="G34" s="57"/>
      <c r="H34" s="57"/>
      <c r="I34" s="57"/>
      <c r="J34" s="57"/>
      <c r="K34" s="57"/>
      <c r="L34" s="57"/>
      <c r="M34" s="57"/>
      <c r="N34" s="57"/>
      <c r="O34" s="57"/>
      <c r="P34" s="57"/>
      <c r="Q34" s="57"/>
      <c r="R34" s="57"/>
      <c r="S34" s="57"/>
      <c r="T34" s="57"/>
      <c r="U34" s="58"/>
    </row>
    <row r="35" spans="2:21" ht="66.75" customHeight="1" x14ac:dyDescent="0.2">
      <c r="B35" s="56" t="s">
        <v>308</v>
      </c>
      <c r="C35" s="57"/>
      <c r="D35" s="57"/>
      <c r="E35" s="57"/>
      <c r="F35" s="57"/>
      <c r="G35" s="57"/>
      <c r="H35" s="57"/>
      <c r="I35" s="57"/>
      <c r="J35" s="57"/>
      <c r="K35" s="57"/>
      <c r="L35" s="57"/>
      <c r="M35" s="57"/>
      <c r="N35" s="57"/>
      <c r="O35" s="57"/>
      <c r="P35" s="57"/>
      <c r="Q35" s="57"/>
      <c r="R35" s="57"/>
      <c r="S35" s="57"/>
      <c r="T35" s="57"/>
      <c r="U35" s="58"/>
    </row>
    <row r="36" spans="2:21" ht="84" customHeight="1" x14ac:dyDescent="0.2">
      <c r="B36" s="56" t="s">
        <v>309</v>
      </c>
      <c r="C36" s="57"/>
      <c r="D36" s="57"/>
      <c r="E36" s="57"/>
      <c r="F36" s="57"/>
      <c r="G36" s="57"/>
      <c r="H36" s="57"/>
      <c r="I36" s="57"/>
      <c r="J36" s="57"/>
      <c r="K36" s="57"/>
      <c r="L36" s="57"/>
      <c r="M36" s="57"/>
      <c r="N36" s="57"/>
      <c r="O36" s="57"/>
      <c r="P36" s="57"/>
      <c r="Q36" s="57"/>
      <c r="R36" s="57"/>
      <c r="S36" s="57"/>
      <c r="T36" s="57"/>
      <c r="U36" s="58"/>
    </row>
    <row r="37" spans="2:21" ht="61.5" customHeight="1" x14ac:dyDescent="0.2">
      <c r="B37" s="56" t="s">
        <v>310</v>
      </c>
      <c r="C37" s="57"/>
      <c r="D37" s="57"/>
      <c r="E37" s="57"/>
      <c r="F37" s="57"/>
      <c r="G37" s="57"/>
      <c r="H37" s="57"/>
      <c r="I37" s="57"/>
      <c r="J37" s="57"/>
      <c r="K37" s="57"/>
      <c r="L37" s="57"/>
      <c r="M37" s="57"/>
      <c r="N37" s="57"/>
      <c r="O37" s="57"/>
      <c r="P37" s="57"/>
      <c r="Q37" s="57"/>
      <c r="R37" s="57"/>
      <c r="S37" s="57"/>
      <c r="T37" s="57"/>
      <c r="U37" s="58"/>
    </row>
    <row r="38" spans="2:21" ht="98.25" customHeight="1" x14ac:dyDescent="0.2">
      <c r="B38" s="56" t="s">
        <v>311</v>
      </c>
      <c r="C38" s="57"/>
      <c r="D38" s="57"/>
      <c r="E38" s="57"/>
      <c r="F38" s="57"/>
      <c r="G38" s="57"/>
      <c r="H38" s="57"/>
      <c r="I38" s="57"/>
      <c r="J38" s="57"/>
      <c r="K38" s="57"/>
      <c r="L38" s="57"/>
      <c r="M38" s="57"/>
      <c r="N38" s="57"/>
      <c r="O38" s="57"/>
      <c r="P38" s="57"/>
      <c r="Q38" s="57"/>
      <c r="R38" s="57"/>
      <c r="S38" s="57"/>
      <c r="T38" s="57"/>
      <c r="U38" s="58"/>
    </row>
    <row r="39" spans="2:21" ht="51" customHeight="1" x14ac:dyDescent="0.2">
      <c r="B39" s="56" t="s">
        <v>312</v>
      </c>
      <c r="C39" s="57"/>
      <c r="D39" s="57"/>
      <c r="E39" s="57"/>
      <c r="F39" s="57"/>
      <c r="G39" s="57"/>
      <c r="H39" s="57"/>
      <c r="I39" s="57"/>
      <c r="J39" s="57"/>
      <c r="K39" s="57"/>
      <c r="L39" s="57"/>
      <c r="M39" s="57"/>
      <c r="N39" s="57"/>
      <c r="O39" s="57"/>
      <c r="P39" s="57"/>
      <c r="Q39" s="57"/>
      <c r="R39" s="57"/>
      <c r="S39" s="57"/>
      <c r="T39" s="57"/>
      <c r="U39" s="58"/>
    </row>
    <row r="40" spans="2:21" ht="63.75" customHeight="1" x14ac:dyDescent="0.2">
      <c r="B40" s="56" t="s">
        <v>313</v>
      </c>
      <c r="C40" s="57"/>
      <c r="D40" s="57"/>
      <c r="E40" s="57"/>
      <c r="F40" s="57"/>
      <c r="G40" s="57"/>
      <c r="H40" s="57"/>
      <c r="I40" s="57"/>
      <c r="J40" s="57"/>
      <c r="K40" s="57"/>
      <c r="L40" s="57"/>
      <c r="M40" s="57"/>
      <c r="N40" s="57"/>
      <c r="O40" s="57"/>
      <c r="P40" s="57"/>
      <c r="Q40" s="57"/>
      <c r="R40" s="57"/>
      <c r="S40" s="57"/>
      <c r="T40" s="57"/>
      <c r="U40" s="58"/>
    </row>
    <row r="41" spans="2:21" ht="69.75" customHeight="1" x14ac:dyDescent="0.2">
      <c r="B41" s="56" t="s">
        <v>314</v>
      </c>
      <c r="C41" s="57"/>
      <c r="D41" s="57"/>
      <c r="E41" s="57"/>
      <c r="F41" s="57"/>
      <c r="G41" s="57"/>
      <c r="H41" s="57"/>
      <c r="I41" s="57"/>
      <c r="J41" s="57"/>
      <c r="K41" s="57"/>
      <c r="L41" s="57"/>
      <c r="M41" s="57"/>
      <c r="N41" s="57"/>
      <c r="O41" s="57"/>
      <c r="P41" s="57"/>
      <c r="Q41" s="57"/>
      <c r="R41" s="57"/>
      <c r="S41" s="57"/>
      <c r="T41" s="57"/>
      <c r="U41" s="58"/>
    </row>
    <row r="42" spans="2:21" ht="78" customHeight="1" x14ac:dyDescent="0.2">
      <c r="B42" s="56" t="s">
        <v>315</v>
      </c>
      <c r="C42" s="57"/>
      <c r="D42" s="57"/>
      <c r="E42" s="57"/>
      <c r="F42" s="57"/>
      <c r="G42" s="57"/>
      <c r="H42" s="57"/>
      <c r="I42" s="57"/>
      <c r="J42" s="57"/>
      <c r="K42" s="57"/>
      <c r="L42" s="57"/>
      <c r="M42" s="57"/>
      <c r="N42" s="57"/>
      <c r="O42" s="57"/>
      <c r="P42" s="57"/>
      <c r="Q42" s="57"/>
      <c r="R42" s="57"/>
      <c r="S42" s="57"/>
      <c r="T42" s="57"/>
      <c r="U42" s="58"/>
    </row>
    <row r="43" spans="2:21" ht="59.25" customHeight="1" x14ac:dyDescent="0.2">
      <c r="B43" s="56" t="s">
        <v>316</v>
      </c>
      <c r="C43" s="57"/>
      <c r="D43" s="57"/>
      <c r="E43" s="57"/>
      <c r="F43" s="57"/>
      <c r="G43" s="57"/>
      <c r="H43" s="57"/>
      <c r="I43" s="57"/>
      <c r="J43" s="57"/>
      <c r="K43" s="57"/>
      <c r="L43" s="57"/>
      <c r="M43" s="57"/>
      <c r="N43" s="57"/>
      <c r="O43" s="57"/>
      <c r="P43" s="57"/>
      <c r="Q43" s="57"/>
      <c r="R43" s="57"/>
      <c r="S43" s="57"/>
      <c r="T43" s="57"/>
      <c r="U43" s="58"/>
    </row>
    <row r="44" spans="2:21" ht="100.5" customHeight="1" x14ac:dyDescent="0.2">
      <c r="B44" s="56" t="s">
        <v>317</v>
      </c>
      <c r="C44" s="57"/>
      <c r="D44" s="57"/>
      <c r="E44" s="57"/>
      <c r="F44" s="57"/>
      <c r="G44" s="57"/>
      <c r="H44" s="57"/>
      <c r="I44" s="57"/>
      <c r="J44" s="57"/>
      <c r="K44" s="57"/>
      <c r="L44" s="57"/>
      <c r="M44" s="57"/>
      <c r="N44" s="57"/>
      <c r="O44" s="57"/>
      <c r="P44" s="57"/>
      <c r="Q44" s="57"/>
      <c r="R44" s="57"/>
      <c r="S44" s="57"/>
      <c r="T44" s="57"/>
      <c r="U44" s="58"/>
    </row>
    <row r="45" spans="2:21" ht="51.75" customHeight="1" x14ac:dyDescent="0.2">
      <c r="B45" s="56" t="s">
        <v>318</v>
      </c>
      <c r="C45" s="57"/>
      <c r="D45" s="57"/>
      <c r="E45" s="57"/>
      <c r="F45" s="57"/>
      <c r="G45" s="57"/>
      <c r="H45" s="57"/>
      <c r="I45" s="57"/>
      <c r="J45" s="57"/>
      <c r="K45" s="57"/>
      <c r="L45" s="57"/>
      <c r="M45" s="57"/>
      <c r="N45" s="57"/>
      <c r="O45" s="57"/>
      <c r="P45" s="57"/>
      <c r="Q45" s="57"/>
      <c r="R45" s="57"/>
      <c r="S45" s="57"/>
      <c r="T45" s="57"/>
      <c r="U45" s="58"/>
    </row>
    <row r="46" spans="2:21" ht="76.7" customHeight="1" thickBot="1" x14ac:dyDescent="0.25">
      <c r="B46" s="59" t="s">
        <v>319</v>
      </c>
      <c r="C46" s="60"/>
      <c r="D46" s="60"/>
      <c r="E46" s="60"/>
      <c r="F46" s="60"/>
      <c r="G46" s="60"/>
      <c r="H46" s="60"/>
      <c r="I46" s="60"/>
      <c r="J46" s="60"/>
      <c r="K46" s="60"/>
      <c r="L46" s="60"/>
      <c r="M46" s="60"/>
      <c r="N46" s="60"/>
      <c r="O46" s="60"/>
      <c r="P46" s="60"/>
      <c r="Q46" s="60"/>
      <c r="R46" s="60"/>
      <c r="S46" s="60"/>
      <c r="T46" s="60"/>
      <c r="U46" s="61"/>
    </row>
  </sheetData>
  <mergeCells count="83">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C22:H22"/>
    <mergeCell ref="I22:K22"/>
    <mergeCell ref="L22:O22"/>
    <mergeCell ref="C23:H23"/>
    <mergeCell ref="I23:K23"/>
    <mergeCell ref="L23:O23"/>
    <mergeCell ref="B34:U34"/>
    <mergeCell ref="C24:H24"/>
    <mergeCell ref="I24:K24"/>
    <mergeCell ref="L24:O24"/>
    <mergeCell ref="C25:H25"/>
    <mergeCell ref="I25:K25"/>
    <mergeCell ref="L25:O25"/>
    <mergeCell ref="B29:D29"/>
    <mergeCell ref="B30:D30"/>
    <mergeCell ref="B32:U32"/>
    <mergeCell ref="B33:U33"/>
    <mergeCell ref="B46:U46"/>
    <mergeCell ref="B35:U35"/>
    <mergeCell ref="B36:U36"/>
    <mergeCell ref="B37:U37"/>
    <mergeCell ref="B38:U38"/>
    <mergeCell ref="B39:U39"/>
    <mergeCell ref="B40:U40"/>
    <mergeCell ref="B41:U41"/>
    <mergeCell ref="B42:U42"/>
    <mergeCell ref="B43:U43"/>
    <mergeCell ref="B44:U44"/>
    <mergeCell ref="B45:U45"/>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8"/>
  <sheetViews>
    <sheetView topLeftCell="L31" zoomScale="80" zoomScaleNormal="80" zoomScaleSheetLayoutView="80" workbookViewId="0">
      <selection activeCell="S34" sqref="S34:U35"/>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3" style="1" customWidth="1"/>
    <col min="20" max="20" width="10.75" style="1" customWidth="1"/>
    <col min="21" max="21" width="11.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2" t="s">
        <v>0</v>
      </c>
      <c r="C1" s="52"/>
      <c r="D1" s="52"/>
      <c r="E1" s="52"/>
      <c r="F1" s="52"/>
      <c r="G1" s="52"/>
      <c r="H1" s="52"/>
      <c r="I1" s="52"/>
      <c r="J1" s="52"/>
      <c r="K1" s="52"/>
      <c r="L1" s="52"/>
      <c r="M1" s="3" t="s">
        <v>1</v>
      </c>
    </row>
    <row r="2" spans="1:21" ht="13.5" customHeight="1" thickBot="1" x14ac:dyDescent="0.25"/>
    <row r="3" spans="1:21" ht="20.2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9" t="s">
        <v>6</v>
      </c>
      <c r="C4" s="40" t="s">
        <v>320</v>
      </c>
      <c r="D4" s="90" t="s">
        <v>321</v>
      </c>
      <c r="E4" s="90"/>
      <c r="F4" s="90"/>
      <c r="G4" s="90"/>
      <c r="H4" s="90"/>
      <c r="I4" s="41"/>
      <c r="J4" s="42" t="s">
        <v>9</v>
      </c>
      <c r="K4" s="43" t="s">
        <v>10</v>
      </c>
      <c r="L4" s="91" t="s">
        <v>11</v>
      </c>
      <c r="M4" s="91"/>
      <c r="N4" s="91"/>
      <c r="O4" s="91"/>
      <c r="P4" s="42" t="s">
        <v>12</v>
      </c>
      <c r="Q4" s="91" t="s">
        <v>322</v>
      </c>
      <c r="R4" s="91"/>
      <c r="S4" s="42" t="s">
        <v>14</v>
      </c>
      <c r="T4" s="91" t="s">
        <v>260</v>
      </c>
      <c r="U4" s="92"/>
    </row>
    <row r="5" spans="1:21" ht="15.75" customHeight="1" x14ac:dyDescent="0.2">
      <c r="B5" s="93" t="s">
        <v>15</v>
      </c>
      <c r="C5" s="94"/>
      <c r="D5" s="94"/>
      <c r="E5" s="94"/>
      <c r="F5" s="94"/>
      <c r="G5" s="94"/>
      <c r="H5" s="94"/>
      <c r="I5" s="94"/>
      <c r="J5" s="94"/>
      <c r="K5" s="94"/>
      <c r="L5" s="94"/>
      <c r="M5" s="94"/>
      <c r="N5" s="94"/>
      <c r="O5" s="94"/>
      <c r="P5" s="94"/>
      <c r="Q5" s="94"/>
      <c r="R5" s="94"/>
      <c r="S5" s="94"/>
      <c r="T5" s="94"/>
      <c r="U5" s="95"/>
    </row>
    <row r="6" spans="1:21" ht="49.5" customHeight="1" thickBot="1" x14ac:dyDescent="0.25">
      <c r="B6" s="44" t="s">
        <v>16</v>
      </c>
      <c r="C6" s="98" t="s">
        <v>17</v>
      </c>
      <c r="D6" s="98"/>
      <c r="E6" s="98"/>
      <c r="F6" s="98"/>
      <c r="G6" s="98"/>
      <c r="H6" s="45"/>
      <c r="I6" s="45"/>
      <c r="J6" s="45" t="s">
        <v>18</v>
      </c>
      <c r="K6" s="98" t="s">
        <v>19</v>
      </c>
      <c r="L6" s="98"/>
      <c r="M6" s="98"/>
      <c r="N6" s="46"/>
      <c r="O6" s="45" t="s">
        <v>20</v>
      </c>
      <c r="P6" s="98" t="s">
        <v>21</v>
      </c>
      <c r="Q6" s="98"/>
      <c r="R6" s="47"/>
      <c r="S6" s="45" t="s">
        <v>22</v>
      </c>
      <c r="T6" s="98" t="s">
        <v>23</v>
      </c>
      <c r="U6" s="99"/>
    </row>
    <row r="7" spans="1:21" ht="2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5" t="s">
        <v>25</v>
      </c>
      <c r="C8" s="71" t="s">
        <v>26</v>
      </c>
      <c r="D8" s="71"/>
      <c r="E8" s="71"/>
      <c r="F8" s="71"/>
      <c r="G8" s="71"/>
      <c r="H8" s="78"/>
      <c r="I8" s="83" t="s">
        <v>27</v>
      </c>
      <c r="J8" s="84"/>
      <c r="K8" s="84"/>
      <c r="L8" s="84"/>
      <c r="M8" s="84"/>
      <c r="N8" s="84"/>
      <c r="O8" s="84"/>
      <c r="P8" s="84"/>
      <c r="Q8" s="84"/>
      <c r="R8" s="84"/>
      <c r="S8" s="85"/>
      <c r="T8" s="86" t="s">
        <v>28</v>
      </c>
      <c r="U8" s="87"/>
    </row>
    <row r="9" spans="1:21" ht="19.5" customHeight="1" x14ac:dyDescent="0.2">
      <c r="B9" s="76"/>
      <c r="C9" s="79"/>
      <c r="D9" s="79"/>
      <c r="E9" s="79"/>
      <c r="F9" s="79"/>
      <c r="G9" s="79"/>
      <c r="H9" s="80"/>
      <c r="I9" s="88" t="s">
        <v>29</v>
      </c>
      <c r="J9" s="71"/>
      <c r="K9" s="71"/>
      <c r="L9" s="71" t="s">
        <v>30</v>
      </c>
      <c r="M9" s="71"/>
      <c r="N9" s="71"/>
      <c r="O9" s="71"/>
      <c r="P9" s="71" t="s">
        <v>31</v>
      </c>
      <c r="Q9" s="71" t="s">
        <v>32</v>
      </c>
      <c r="R9" s="73" t="s">
        <v>33</v>
      </c>
      <c r="S9" s="74"/>
      <c r="T9" s="71" t="s">
        <v>34</v>
      </c>
      <c r="U9" s="96" t="s">
        <v>35</v>
      </c>
    </row>
    <row r="10" spans="1:21" ht="43.5" customHeight="1" thickBot="1" x14ac:dyDescent="0.25">
      <c r="B10" s="77"/>
      <c r="C10" s="81"/>
      <c r="D10" s="81"/>
      <c r="E10" s="81"/>
      <c r="F10" s="81"/>
      <c r="G10" s="81"/>
      <c r="H10" s="82"/>
      <c r="I10" s="89"/>
      <c r="J10" s="72"/>
      <c r="K10" s="72"/>
      <c r="L10" s="72"/>
      <c r="M10" s="72"/>
      <c r="N10" s="72"/>
      <c r="O10" s="72"/>
      <c r="P10" s="72"/>
      <c r="Q10" s="72"/>
      <c r="R10" s="9" t="s">
        <v>36</v>
      </c>
      <c r="S10" s="10" t="s">
        <v>37</v>
      </c>
      <c r="T10" s="72"/>
      <c r="U10" s="97"/>
    </row>
    <row r="11" spans="1:21" ht="111" customHeight="1" thickTop="1" thickBot="1" x14ac:dyDescent="0.25">
      <c r="A11" s="11"/>
      <c r="B11" s="12" t="s">
        <v>38</v>
      </c>
      <c r="C11" s="101" t="s">
        <v>323</v>
      </c>
      <c r="D11" s="101"/>
      <c r="E11" s="101"/>
      <c r="F11" s="101"/>
      <c r="G11" s="101"/>
      <c r="H11" s="101"/>
      <c r="I11" s="102" t="s">
        <v>324</v>
      </c>
      <c r="J11" s="102"/>
      <c r="K11" s="102"/>
      <c r="L11" s="101" t="s">
        <v>325</v>
      </c>
      <c r="M11" s="101"/>
      <c r="N11" s="101"/>
      <c r="O11" s="101"/>
      <c r="P11" s="13" t="s">
        <v>49</v>
      </c>
      <c r="Q11" s="13" t="s">
        <v>43</v>
      </c>
      <c r="R11" s="33" t="s">
        <v>44</v>
      </c>
      <c r="S11" s="33" t="s">
        <v>44</v>
      </c>
      <c r="T11" s="33" t="s">
        <v>44</v>
      </c>
      <c r="U11" s="37" t="str">
        <f>"N/A"</f>
        <v>N/A</v>
      </c>
    </row>
    <row r="12" spans="1:21" ht="101.25" customHeight="1" thickTop="1" x14ac:dyDescent="0.2">
      <c r="A12" s="11"/>
      <c r="B12" s="12" t="s">
        <v>45</v>
      </c>
      <c r="C12" s="70" t="s">
        <v>326</v>
      </c>
      <c r="D12" s="70"/>
      <c r="E12" s="70"/>
      <c r="F12" s="70"/>
      <c r="G12" s="70"/>
      <c r="H12" s="70"/>
      <c r="I12" s="70" t="s">
        <v>327</v>
      </c>
      <c r="J12" s="70"/>
      <c r="K12" s="70"/>
      <c r="L12" s="70" t="s">
        <v>328</v>
      </c>
      <c r="M12" s="70"/>
      <c r="N12" s="70"/>
      <c r="O12" s="70"/>
      <c r="P12" s="13" t="s">
        <v>49</v>
      </c>
      <c r="Q12" s="13" t="s">
        <v>155</v>
      </c>
      <c r="R12" s="33">
        <v>88.33</v>
      </c>
      <c r="S12" s="33">
        <v>80.7</v>
      </c>
      <c r="T12" s="33">
        <v>81.89</v>
      </c>
      <c r="U12" s="37">
        <f>101.47</f>
        <v>101.47</v>
      </c>
    </row>
    <row r="13" spans="1:21" ht="75" customHeight="1" thickBot="1" x14ac:dyDescent="0.25">
      <c r="A13" s="11"/>
      <c r="B13" s="14" t="s">
        <v>51</v>
      </c>
      <c r="C13" s="62" t="s">
        <v>51</v>
      </c>
      <c r="D13" s="62"/>
      <c r="E13" s="62"/>
      <c r="F13" s="62"/>
      <c r="G13" s="62"/>
      <c r="H13" s="62"/>
      <c r="I13" s="62" t="s">
        <v>329</v>
      </c>
      <c r="J13" s="62"/>
      <c r="K13" s="62"/>
      <c r="L13" s="100" t="s">
        <v>330</v>
      </c>
      <c r="M13" s="100"/>
      <c r="N13" s="100"/>
      <c r="O13" s="100"/>
      <c r="P13" s="15" t="s">
        <v>49</v>
      </c>
      <c r="Q13" s="15" t="s">
        <v>50</v>
      </c>
      <c r="R13" s="35">
        <v>90</v>
      </c>
      <c r="S13" s="35">
        <v>80.290000000000006</v>
      </c>
      <c r="T13" s="35">
        <v>83.33</v>
      </c>
      <c r="U13" s="38">
        <f>103.78</f>
        <v>103.78</v>
      </c>
    </row>
    <row r="14" spans="1:21" ht="75" customHeight="1" thickTop="1" x14ac:dyDescent="0.2">
      <c r="A14" s="11"/>
      <c r="B14" s="12" t="s">
        <v>54</v>
      </c>
      <c r="C14" s="70" t="s">
        <v>331</v>
      </c>
      <c r="D14" s="70"/>
      <c r="E14" s="70"/>
      <c r="F14" s="70"/>
      <c r="G14" s="70"/>
      <c r="H14" s="70"/>
      <c r="I14" s="70" t="s">
        <v>332</v>
      </c>
      <c r="J14" s="70"/>
      <c r="K14" s="70"/>
      <c r="L14" s="70" t="s">
        <v>333</v>
      </c>
      <c r="M14" s="70"/>
      <c r="N14" s="70"/>
      <c r="O14" s="70"/>
      <c r="P14" s="13" t="s">
        <v>49</v>
      </c>
      <c r="Q14" s="13" t="s">
        <v>50</v>
      </c>
      <c r="R14" s="33">
        <v>100</v>
      </c>
      <c r="S14" s="33">
        <v>100</v>
      </c>
      <c r="T14" s="33">
        <v>132</v>
      </c>
      <c r="U14" s="37">
        <f>132</f>
        <v>132</v>
      </c>
    </row>
    <row r="15" spans="1:21" ht="96.75" customHeight="1" x14ac:dyDescent="0.2">
      <c r="A15" s="11"/>
      <c r="B15" s="14" t="s">
        <v>51</v>
      </c>
      <c r="C15" s="62" t="s">
        <v>334</v>
      </c>
      <c r="D15" s="62"/>
      <c r="E15" s="62"/>
      <c r="F15" s="62"/>
      <c r="G15" s="62"/>
      <c r="H15" s="62"/>
      <c r="I15" s="62" t="s">
        <v>335</v>
      </c>
      <c r="J15" s="62"/>
      <c r="K15" s="62"/>
      <c r="L15" s="62" t="s">
        <v>336</v>
      </c>
      <c r="M15" s="62"/>
      <c r="N15" s="62"/>
      <c r="O15" s="62"/>
      <c r="P15" s="15" t="s">
        <v>49</v>
      </c>
      <c r="Q15" s="15" t="s">
        <v>50</v>
      </c>
      <c r="R15" s="35">
        <v>91.44</v>
      </c>
      <c r="S15" s="35">
        <v>103.18</v>
      </c>
      <c r="T15" s="35">
        <v>116.77</v>
      </c>
      <c r="U15" s="38">
        <f>113.17</f>
        <v>113.17</v>
      </c>
    </row>
    <row r="16" spans="1:21" ht="75" customHeight="1" x14ac:dyDescent="0.2">
      <c r="A16" s="11"/>
      <c r="B16" s="14" t="s">
        <v>51</v>
      </c>
      <c r="C16" s="62" t="s">
        <v>51</v>
      </c>
      <c r="D16" s="62"/>
      <c r="E16" s="62"/>
      <c r="F16" s="62"/>
      <c r="G16" s="62"/>
      <c r="H16" s="62"/>
      <c r="I16" s="62" t="s">
        <v>337</v>
      </c>
      <c r="J16" s="62"/>
      <c r="K16" s="62"/>
      <c r="L16" s="62" t="s">
        <v>338</v>
      </c>
      <c r="M16" s="62"/>
      <c r="N16" s="62"/>
      <c r="O16" s="62"/>
      <c r="P16" s="15" t="s">
        <v>49</v>
      </c>
      <c r="Q16" s="15" t="s">
        <v>50</v>
      </c>
      <c r="R16" s="35">
        <v>109.24</v>
      </c>
      <c r="S16" s="35">
        <v>102.32</v>
      </c>
      <c r="T16" s="35">
        <v>88.66</v>
      </c>
      <c r="U16" s="38">
        <f>86.64</f>
        <v>86.64</v>
      </c>
    </row>
    <row r="17" spans="1:22" ht="75" customHeight="1" x14ac:dyDescent="0.2">
      <c r="A17" s="11"/>
      <c r="B17" s="14" t="s">
        <v>51</v>
      </c>
      <c r="C17" s="62" t="s">
        <v>339</v>
      </c>
      <c r="D17" s="62"/>
      <c r="E17" s="62"/>
      <c r="F17" s="62"/>
      <c r="G17" s="62"/>
      <c r="H17" s="62"/>
      <c r="I17" s="62" t="s">
        <v>340</v>
      </c>
      <c r="J17" s="62"/>
      <c r="K17" s="62"/>
      <c r="L17" s="62" t="s">
        <v>341</v>
      </c>
      <c r="M17" s="62"/>
      <c r="N17" s="62"/>
      <c r="O17" s="62"/>
      <c r="P17" s="15" t="s">
        <v>49</v>
      </c>
      <c r="Q17" s="15" t="s">
        <v>50</v>
      </c>
      <c r="R17" s="35">
        <v>40</v>
      </c>
      <c r="S17" s="35">
        <v>80</v>
      </c>
      <c r="T17" s="35">
        <v>44</v>
      </c>
      <c r="U17" s="38">
        <f>55</f>
        <v>55</v>
      </c>
    </row>
    <row r="18" spans="1:22" ht="96" customHeight="1" x14ac:dyDescent="0.2">
      <c r="A18" s="11"/>
      <c r="B18" s="14" t="s">
        <v>51</v>
      </c>
      <c r="C18" s="62" t="s">
        <v>51</v>
      </c>
      <c r="D18" s="62"/>
      <c r="E18" s="62"/>
      <c r="F18" s="62"/>
      <c r="G18" s="62"/>
      <c r="H18" s="62"/>
      <c r="I18" s="62" t="s">
        <v>342</v>
      </c>
      <c r="J18" s="62"/>
      <c r="K18" s="62"/>
      <c r="L18" s="62" t="s">
        <v>343</v>
      </c>
      <c r="M18" s="62"/>
      <c r="N18" s="62"/>
      <c r="O18" s="62"/>
      <c r="P18" s="15" t="s">
        <v>49</v>
      </c>
      <c r="Q18" s="15" t="s">
        <v>50</v>
      </c>
      <c r="R18" s="35">
        <v>75</v>
      </c>
      <c r="S18" s="35">
        <v>83.33</v>
      </c>
      <c r="T18" s="35">
        <v>80</v>
      </c>
      <c r="U18" s="38">
        <f>96</f>
        <v>96</v>
      </c>
    </row>
    <row r="19" spans="1:22" ht="87" customHeight="1" x14ac:dyDescent="0.2">
      <c r="A19" s="11"/>
      <c r="B19" s="14" t="s">
        <v>51</v>
      </c>
      <c r="C19" s="62" t="s">
        <v>344</v>
      </c>
      <c r="D19" s="62"/>
      <c r="E19" s="62"/>
      <c r="F19" s="62"/>
      <c r="G19" s="62"/>
      <c r="H19" s="62"/>
      <c r="I19" s="62" t="s">
        <v>345</v>
      </c>
      <c r="J19" s="62"/>
      <c r="K19" s="62"/>
      <c r="L19" s="62" t="s">
        <v>346</v>
      </c>
      <c r="M19" s="62"/>
      <c r="N19" s="62"/>
      <c r="O19" s="62"/>
      <c r="P19" s="15" t="s">
        <v>49</v>
      </c>
      <c r="Q19" s="15" t="s">
        <v>155</v>
      </c>
      <c r="R19" s="35">
        <v>100</v>
      </c>
      <c r="S19" s="35">
        <v>83.11</v>
      </c>
      <c r="T19" s="35">
        <v>83.16</v>
      </c>
      <c r="U19" s="38">
        <f>100.6</f>
        <v>100.6</v>
      </c>
    </row>
    <row r="20" spans="1:22" ht="99.75" customHeight="1" x14ac:dyDescent="0.2">
      <c r="A20" s="11"/>
      <c r="B20" s="14" t="s">
        <v>51</v>
      </c>
      <c r="C20" s="62" t="s">
        <v>347</v>
      </c>
      <c r="D20" s="62"/>
      <c r="E20" s="62"/>
      <c r="F20" s="62"/>
      <c r="G20" s="62"/>
      <c r="H20" s="62"/>
      <c r="I20" s="62" t="s">
        <v>348</v>
      </c>
      <c r="J20" s="62"/>
      <c r="K20" s="62"/>
      <c r="L20" s="62" t="s">
        <v>349</v>
      </c>
      <c r="M20" s="62"/>
      <c r="N20" s="62"/>
      <c r="O20" s="62"/>
      <c r="P20" s="15" t="s">
        <v>49</v>
      </c>
      <c r="Q20" s="15" t="s">
        <v>50</v>
      </c>
      <c r="R20" s="35">
        <v>95.66</v>
      </c>
      <c r="S20" s="35">
        <v>96.9</v>
      </c>
      <c r="T20" s="35">
        <v>90.56</v>
      </c>
      <c r="U20" s="38">
        <f>93.45</f>
        <v>93.45</v>
      </c>
    </row>
    <row r="21" spans="1:22" ht="99.75" customHeight="1" thickBot="1" x14ac:dyDescent="0.25">
      <c r="A21" s="11"/>
      <c r="B21" s="14" t="s">
        <v>51</v>
      </c>
      <c r="C21" s="62" t="s">
        <v>350</v>
      </c>
      <c r="D21" s="62"/>
      <c r="E21" s="62"/>
      <c r="F21" s="62"/>
      <c r="G21" s="62"/>
      <c r="H21" s="62"/>
      <c r="I21" s="62" t="s">
        <v>351</v>
      </c>
      <c r="J21" s="62"/>
      <c r="K21" s="62"/>
      <c r="L21" s="62" t="s">
        <v>352</v>
      </c>
      <c r="M21" s="62"/>
      <c r="N21" s="62"/>
      <c r="O21" s="62"/>
      <c r="P21" s="15" t="s">
        <v>49</v>
      </c>
      <c r="Q21" s="15" t="s">
        <v>50</v>
      </c>
      <c r="R21" s="35" t="s">
        <v>44</v>
      </c>
      <c r="S21" s="35">
        <v>100</v>
      </c>
      <c r="T21" s="35">
        <v>153</v>
      </c>
      <c r="U21" s="38">
        <f>153</f>
        <v>153</v>
      </c>
    </row>
    <row r="22" spans="1:22" ht="104.25" customHeight="1" thickTop="1" x14ac:dyDescent="0.2">
      <c r="A22" s="11"/>
      <c r="B22" s="12" t="s">
        <v>76</v>
      </c>
      <c r="C22" s="70" t="s">
        <v>353</v>
      </c>
      <c r="D22" s="70"/>
      <c r="E22" s="70"/>
      <c r="F22" s="70"/>
      <c r="G22" s="70"/>
      <c r="H22" s="70"/>
      <c r="I22" s="70" t="s">
        <v>354</v>
      </c>
      <c r="J22" s="70"/>
      <c r="K22" s="70"/>
      <c r="L22" s="70" t="s">
        <v>355</v>
      </c>
      <c r="M22" s="70"/>
      <c r="N22" s="70"/>
      <c r="O22" s="70"/>
      <c r="P22" s="13" t="s">
        <v>49</v>
      </c>
      <c r="Q22" s="13" t="s">
        <v>64</v>
      </c>
      <c r="R22" s="33">
        <v>100</v>
      </c>
      <c r="S22" s="33">
        <v>100</v>
      </c>
      <c r="T22" s="33">
        <v>222</v>
      </c>
      <c r="U22" s="37">
        <f>222</f>
        <v>222</v>
      </c>
    </row>
    <row r="23" spans="1:22" ht="75" customHeight="1" x14ac:dyDescent="0.2">
      <c r="A23" s="11"/>
      <c r="B23" s="14" t="s">
        <v>51</v>
      </c>
      <c r="C23" s="62" t="s">
        <v>356</v>
      </c>
      <c r="D23" s="62"/>
      <c r="E23" s="62"/>
      <c r="F23" s="62"/>
      <c r="G23" s="62"/>
      <c r="H23" s="62"/>
      <c r="I23" s="62" t="s">
        <v>357</v>
      </c>
      <c r="J23" s="62"/>
      <c r="K23" s="62"/>
      <c r="L23" s="62" t="s">
        <v>358</v>
      </c>
      <c r="M23" s="62"/>
      <c r="N23" s="62"/>
      <c r="O23" s="62"/>
      <c r="P23" s="15" t="s">
        <v>49</v>
      </c>
      <c r="Q23" s="15" t="s">
        <v>166</v>
      </c>
      <c r="R23" s="35">
        <v>32.14</v>
      </c>
      <c r="S23" s="35">
        <v>60.71</v>
      </c>
      <c r="T23" s="35">
        <v>60.71</v>
      </c>
      <c r="U23" s="38">
        <f>100</f>
        <v>100</v>
      </c>
    </row>
    <row r="24" spans="1:22" ht="75" customHeight="1" x14ac:dyDescent="0.2">
      <c r="A24" s="11"/>
      <c r="B24" s="14" t="s">
        <v>51</v>
      </c>
      <c r="C24" s="62" t="s">
        <v>359</v>
      </c>
      <c r="D24" s="62"/>
      <c r="E24" s="62"/>
      <c r="F24" s="62"/>
      <c r="G24" s="62"/>
      <c r="H24" s="62"/>
      <c r="I24" s="62" t="s">
        <v>360</v>
      </c>
      <c r="J24" s="62"/>
      <c r="K24" s="62"/>
      <c r="L24" s="62" t="s">
        <v>361</v>
      </c>
      <c r="M24" s="62"/>
      <c r="N24" s="62"/>
      <c r="O24" s="62"/>
      <c r="P24" s="15" t="s">
        <v>49</v>
      </c>
      <c r="Q24" s="15" t="s">
        <v>61</v>
      </c>
      <c r="R24" s="35">
        <v>46.15</v>
      </c>
      <c r="S24" s="35">
        <v>44.44</v>
      </c>
      <c r="T24" s="35">
        <v>73.33</v>
      </c>
      <c r="U24" s="38">
        <f>165</f>
        <v>165</v>
      </c>
    </row>
    <row r="25" spans="1:22" ht="88.5" customHeight="1" x14ac:dyDescent="0.2">
      <c r="A25" s="11"/>
      <c r="B25" s="14" t="s">
        <v>51</v>
      </c>
      <c r="C25" s="62" t="s">
        <v>362</v>
      </c>
      <c r="D25" s="62"/>
      <c r="E25" s="62"/>
      <c r="F25" s="62"/>
      <c r="G25" s="62"/>
      <c r="H25" s="62"/>
      <c r="I25" s="62" t="s">
        <v>363</v>
      </c>
      <c r="J25" s="62"/>
      <c r="K25" s="62"/>
      <c r="L25" s="62" t="s">
        <v>364</v>
      </c>
      <c r="M25" s="62"/>
      <c r="N25" s="62"/>
      <c r="O25" s="62"/>
      <c r="P25" s="15" t="s">
        <v>49</v>
      </c>
      <c r="Q25" s="15" t="s">
        <v>61</v>
      </c>
      <c r="R25" s="35">
        <v>75</v>
      </c>
      <c r="S25" s="35">
        <v>83.33</v>
      </c>
      <c r="T25" s="35">
        <v>100</v>
      </c>
      <c r="U25" s="38">
        <f>120</f>
        <v>120</v>
      </c>
    </row>
    <row r="26" spans="1:22" ht="75" customHeight="1" x14ac:dyDescent="0.2">
      <c r="A26" s="11"/>
      <c r="B26" s="14" t="s">
        <v>51</v>
      </c>
      <c r="C26" s="62" t="s">
        <v>365</v>
      </c>
      <c r="D26" s="62"/>
      <c r="E26" s="62"/>
      <c r="F26" s="62"/>
      <c r="G26" s="62"/>
      <c r="H26" s="62"/>
      <c r="I26" s="62" t="s">
        <v>366</v>
      </c>
      <c r="J26" s="62"/>
      <c r="K26" s="62"/>
      <c r="L26" s="62" t="s">
        <v>367</v>
      </c>
      <c r="M26" s="62"/>
      <c r="N26" s="62"/>
      <c r="O26" s="62"/>
      <c r="P26" s="15" t="s">
        <v>49</v>
      </c>
      <c r="Q26" s="15" t="s">
        <v>368</v>
      </c>
      <c r="R26" s="35">
        <v>100</v>
      </c>
      <c r="S26" s="35">
        <v>100</v>
      </c>
      <c r="T26" s="35">
        <v>100.47</v>
      </c>
      <c r="U26" s="38">
        <f>100.47</f>
        <v>100.47</v>
      </c>
    </row>
    <row r="27" spans="1:22" ht="75" customHeight="1" x14ac:dyDescent="0.2">
      <c r="A27" s="11"/>
      <c r="B27" s="14" t="s">
        <v>51</v>
      </c>
      <c r="C27" s="62" t="s">
        <v>369</v>
      </c>
      <c r="D27" s="62"/>
      <c r="E27" s="62"/>
      <c r="F27" s="62"/>
      <c r="G27" s="62"/>
      <c r="H27" s="62"/>
      <c r="I27" s="62" t="s">
        <v>370</v>
      </c>
      <c r="J27" s="62"/>
      <c r="K27" s="62"/>
      <c r="L27" s="62" t="s">
        <v>371</v>
      </c>
      <c r="M27" s="62"/>
      <c r="N27" s="62"/>
      <c r="O27" s="62"/>
      <c r="P27" s="15" t="s">
        <v>49</v>
      </c>
      <c r="Q27" s="15" t="s">
        <v>166</v>
      </c>
      <c r="R27" s="35">
        <v>95.41</v>
      </c>
      <c r="S27" s="35">
        <v>99</v>
      </c>
      <c r="T27" s="35">
        <v>92.65</v>
      </c>
      <c r="U27" s="38">
        <f>93.58</f>
        <v>93.58</v>
      </c>
    </row>
    <row r="28" spans="1:22" ht="75" customHeight="1" x14ac:dyDescent="0.2">
      <c r="A28" s="11"/>
      <c r="B28" s="14" t="s">
        <v>51</v>
      </c>
      <c r="C28" s="62" t="s">
        <v>372</v>
      </c>
      <c r="D28" s="62"/>
      <c r="E28" s="62"/>
      <c r="F28" s="62"/>
      <c r="G28" s="62"/>
      <c r="H28" s="62"/>
      <c r="I28" s="62" t="s">
        <v>373</v>
      </c>
      <c r="J28" s="62"/>
      <c r="K28" s="62"/>
      <c r="L28" s="62" t="s">
        <v>374</v>
      </c>
      <c r="M28" s="62"/>
      <c r="N28" s="62"/>
      <c r="O28" s="62"/>
      <c r="P28" s="15" t="s">
        <v>49</v>
      </c>
      <c r="Q28" s="15" t="s">
        <v>166</v>
      </c>
      <c r="R28" s="35">
        <v>96.07</v>
      </c>
      <c r="S28" s="35">
        <v>98.89</v>
      </c>
      <c r="T28" s="35">
        <v>90.28</v>
      </c>
      <c r="U28" s="38">
        <f>91.29</f>
        <v>91.29</v>
      </c>
    </row>
    <row r="29" spans="1:22" ht="75" customHeight="1" x14ac:dyDescent="0.2">
      <c r="A29" s="11"/>
      <c r="B29" s="14" t="s">
        <v>51</v>
      </c>
      <c r="C29" s="62" t="s">
        <v>375</v>
      </c>
      <c r="D29" s="62"/>
      <c r="E29" s="62"/>
      <c r="F29" s="62"/>
      <c r="G29" s="62"/>
      <c r="H29" s="62"/>
      <c r="I29" s="62" t="s">
        <v>376</v>
      </c>
      <c r="J29" s="62"/>
      <c r="K29" s="62"/>
      <c r="L29" s="62" t="s">
        <v>377</v>
      </c>
      <c r="M29" s="62"/>
      <c r="N29" s="62"/>
      <c r="O29" s="62"/>
      <c r="P29" s="15" t="s">
        <v>49</v>
      </c>
      <c r="Q29" s="15" t="s">
        <v>61</v>
      </c>
      <c r="R29" s="35" t="s">
        <v>44</v>
      </c>
      <c r="S29" s="35">
        <v>100</v>
      </c>
      <c r="T29" s="35">
        <v>20</v>
      </c>
      <c r="U29" s="38">
        <f>20</f>
        <v>20</v>
      </c>
    </row>
    <row r="30" spans="1:22" ht="75" customHeight="1" x14ac:dyDescent="0.2">
      <c r="A30" s="11"/>
      <c r="B30" s="14" t="s">
        <v>51</v>
      </c>
      <c r="C30" s="62" t="s">
        <v>378</v>
      </c>
      <c r="D30" s="62"/>
      <c r="E30" s="62"/>
      <c r="F30" s="62"/>
      <c r="G30" s="62"/>
      <c r="H30" s="62"/>
      <c r="I30" s="62" t="s">
        <v>379</v>
      </c>
      <c r="J30" s="62"/>
      <c r="K30" s="62"/>
      <c r="L30" s="62" t="s">
        <v>380</v>
      </c>
      <c r="M30" s="62"/>
      <c r="N30" s="62"/>
      <c r="O30" s="62"/>
      <c r="P30" s="15" t="s">
        <v>49</v>
      </c>
      <c r="Q30" s="15" t="s">
        <v>61</v>
      </c>
      <c r="R30" s="35" t="s">
        <v>44</v>
      </c>
      <c r="S30" s="35">
        <v>100</v>
      </c>
      <c r="T30" s="35">
        <v>157</v>
      </c>
      <c r="U30" s="38">
        <f>157</f>
        <v>157</v>
      </c>
    </row>
    <row r="31" spans="1:22" ht="75" customHeight="1" thickBot="1" x14ac:dyDescent="0.25">
      <c r="A31" s="11"/>
      <c r="B31" s="14" t="s">
        <v>51</v>
      </c>
      <c r="C31" s="62" t="s">
        <v>381</v>
      </c>
      <c r="D31" s="62"/>
      <c r="E31" s="62"/>
      <c r="F31" s="62"/>
      <c r="G31" s="62"/>
      <c r="H31" s="62"/>
      <c r="I31" s="62" t="s">
        <v>382</v>
      </c>
      <c r="J31" s="62"/>
      <c r="K31" s="62"/>
      <c r="L31" s="62" t="s">
        <v>383</v>
      </c>
      <c r="M31" s="62"/>
      <c r="N31" s="62"/>
      <c r="O31" s="62"/>
      <c r="P31" s="15" t="s">
        <v>49</v>
      </c>
      <c r="Q31" s="15" t="s">
        <v>61</v>
      </c>
      <c r="R31" s="35" t="s">
        <v>44</v>
      </c>
      <c r="S31" s="35">
        <v>100</v>
      </c>
      <c r="T31" s="35">
        <v>380</v>
      </c>
      <c r="U31" s="38">
        <f>380</f>
        <v>380</v>
      </c>
    </row>
    <row r="32" spans="1:22" ht="14.25" customHeight="1" thickTop="1" thickBot="1" x14ac:dyDescent="0.25">
      <c r="B32" s="4" t="s">
        <v>108</v>
      </c>
      <c r="C32" s="5"/>
      <c r="D32" s="5"/>
      <c r="E32" s="5"/>
      <c r="F32" s="5"/>
      <c r="G32" s="5"/>
      <c r="H32" s="6"/>
      <c r="I32" s="6"/>
      <c r="J32" s="6"/>
      <c r="K32" s="6"/>
      <c r="L32" s="6"/>
      <c r="M32" s="6"/>
      <c r="N32" s="6"/>
      <c r="O32" s="6"/>
      <c r="P32" s="6"/>
      <c r="Q32" s="6"/>
      <c r="R32" s="6"/>
      <c r="S32" s="6"/>
      <c r="T32" s="6"/>
      <c r="U32" s="7"/>
      <c r="V32" s="16"/>
    </row>
    <row r="33" spans="2:21" ht="26.25" customHeight="1" thickTop="1" x14ac:dyDescent="0.2">
      <c r="B33" s="17"/>
      <c r="C33" s="18"/>
      <c r="D33" s="18"/>
      <c r="E33" s="18"/>
      <c r="F33" s="18"/>
      <c r="G33" s="18"/>
      <c r="H33" s="19"/>
      <c r="I33" s="19"/>
      <c r="J33" s="19"/>
      <c r="K33" s="19"/>
      <c r="L33" s="19"/>
      <c r="M33" s="19"/>
      <c r="N33" s="19"/>
      <c r="O33" s="19"/>
      <c r="P33" s="19"/>
      <c r="Q33" s="19"/>
      <c r="R33" s="20"/>
      <c r="S33" s="21" t="s">
        <v>33</v>
      </c>
      <c r="T33" s="21" t="s">
        <v>109</v>
      </c>
      <c r="U33" s="8" t="s">
        <v>110</v>
      </c>
    </row>
    <row r="34" spans="2:21" ht="34.5" customHeight="1" thickBot="1" x14ac:dyDescent="0.25">
      <c r="B34" s="22"/>
      <c r="C34" s="23"/>
      <c r="D34" s="23"/>
      <c r="E34" s="23"/>
      <c r="F34" s="23"/>
      <c r="G34" s="23"/>
      <c r="H34" s="24"/>
      <c r="I34" s="24"/>
      <c r="J34" s="24"/>
      <c r="K34" s="24"/>
      <c r="L34" s="24"/>
      <c r="M34" s="24"/>
      <c r="N34" s="24"/>
      <c r="O34" s="24"/>
      <c r="P34" s="24"/>
      <c r="Q34" s="24"/>
      <c r="R34" s="24"/>
      <c r="S34" s="25" t="s">
        <v>111</v>
      </c>
      <c r="T34" s="26" t="s">
        <v>111</v>
      </c>
      <c r="U34" s="26" t="s">
        <v>112</v>
      </c>
    </row>
    <row r="35" spans="2:21" ht="15" customHeight="1" thickBot="1" x14ac:dyDescent="0.25">
      <c r="B35" s="63" t="s">
        <v>113</v>
      </c>
      <c r="C35" s="64"/>
      <c r="D35" s="64"/>
      <c r="E35" s="27"/>
      <c r="F35" s="27"/>
      <c r="G35" s="27"/>
      <c r="H35" s="28"/>
      <c r="I35" s="28"/>
      <c r="J35" s="28"/>
      <c r="K35" s="28"/>
      <c r="L35" s="28"/>
      <c r="M35" s="28"/>
      <c r="N35" s="28"/>
      <c r="O35" s="28"/>
      <c r="P35" s="29"/>
      <c r="Q35" s="29"/>
      <c r="R35" s="29"/>
      <c r="S35" s="50">
        <v>8230</v>
      </c>
      <c r="T35" s="50">
        <v>9210.8385805299986</v>
      </c>
      <c r="U35" s="51">
        <f>+IF(ISERR(T35/S35*100),"N/A",ROUND(T35/S35*100,1))</f>
        <v>111.9</v>
      </c>
    </row>
    <row r="36" spans="2:21" ht="15" customHeight="1" thickBot="1" x14ac:dyDescent="0.25">
      <c r="B36" s="65" t="s">
        <v>114</v>
      </c>
      <c r="C36" s="66"/>
      <c r="D36" s="66"/>
      <c r="E36" s="30"/>
      <c r="F36" s="30"/>
      <c r="G36" s="30"/>
      <c r="H36" s="31"/>
      <c r="I36" s="31"/>
      <c r="J36" s="31"/>
      <c r="K36" s="31"/>
      <c r="L36" s="31"/>
      <c r="M36" s="31"/>
      <c r="N36" s="31"/>
      <c r="O36" s="31"/>
      <c r="P36" s="32"/>
      <c r="Q36" s="32"/>
      <c r="R36" s="32"/>
      <c r="S36" s="50">
        <v>9210.8577232099979</v>
      </c>
      <c r="T36" s="50">
        <v>9210.8385805299986</v>
      </c>
      <c r="U36" s="51">
        <f>+IF(ISERR(T36/S36*100),"N/A",ROUND(T36/S36*100,1))</f>
        <v>100</v>
      </c>
    </row>
    <row r="37" spans="2:21" ht="14.85" customHeight="1" thickTop="1" thickBot="1" x14ac:dyDescent="0.25">
      <c r="B37" s="4" t="s">
        <v>115</v>
      </c>
      <c r="C37" s="5"/>
      <c r="D37" s="5"/>
      <c r="E37" s="5"/>
      <c r="F37" s="5"/>
      <c r="G37" s="5"/>
      <c r="H37" s="6"/>
      <c r="I37" s="6"/>
      <c r="J37" s="6"/>
      <c r="K37" s="6"/>
      <c r="L37" s="6"/>
      <c r="M37" s="6"/>
      <c r="N37" s="6"/>
      <c r="O37" s="6"/>
      <c r="P37" s="6"/>
      <c r="Q37" s="6"/>
      <c r="R37" s="6"/>
      <c r="S37" s="6"/>
      <c r="T37" s="6"/>
      <c r="U37" s="7"/>
    </row>
    <row r="38" spans="2:21" ht="44.25" customHeight="1" thickTop="1" x14ac:dyDescent="0.2">
      <c r="B38" s="67" t="s">
        <v>116</v>
      </c>
      <c r="C38" s="68"/>
      <c r="D38" s="68"/>
      <c r="E38" s="68"/>
      <c r="F38" s="68"/>
      <c r="G38" s="68"/>
      <c r="H38" s="68"/>
      <c r="I38" s="68"/>
      <c r="J38" s="68"/>
      <c r="K38" s="68"/>
      <c r="L38" s="68"/>
      <c r="M38" s="68"/>
      <c r="N38" s="68"/>
      <c r="O38" s="68"/>
      <c r="P38" s="68"/>
      <c r="Q38" s="68"/>
      <c r="R38" s="68"/>
      <c r="S38" s="68"/>
      <c r="T38" s="68"/>
      <c r="U38" s="69"/>
    </row>
    <row r="39" spans="2:21" ht="51.75" customHeight="1" x14ac:dyDescent="0.2">
      <c r="B39" s="56" t="s">
        <v>384</v>
      </c>
      <c r="C39" s="57"/>
      <c r="D39" s="57"/>
      <c r="E39" s="57"/>
      <c r="F39" s="57"/>
      <c r="G39" s="57"/>
      <c r="H39" s="57"/>
      <c r="I39" s="57"/>
      <c r="J39" s="57"/>
      <c r="K39" s="57"/>
      <c r="L39" s="57"/>
      <c r="M39" s="57"/>
      <c r="N39" s="57"/>
      <c r="O39" s="57"/>
      <c r="P39" s="57"/>
      <c r="Q39" s="57"/>
      <c r="R39" s="57"/>
      <c r="S39" s="57"/>
      <c r="T39" s="57"/>
      <c r="U39" s="58"/>
    </row>
    <row r="40" spans="2:21" ht="65.25" customHeight="1" x14ac:dyDescent="0.2">
      <c r="B40" s="56" t="s">
        <v>385</v>
      </c>
      <c r="C40" s="57"/>
      <c r="D40" s="57"/>
      <c r="E40" s="57"/>
      <c r="F40" s="57"/>
      <c r="G40" s="57"/>
      <c r="H40" s="57"/>
      <c r="I40" s="57"/>
      <c r="J40" s="57"/>
      <c r="K40" s="57"/>
      <c r="L40" s="57"/>
      <c r="M40" s="57"/>
      <c r="N40" s="57"/>
      <c r="O40" s="57"/>
      <c r="P40" s="57"/>
      <c r="Q40" s="57"/>
      <c r="R40" s="57"/>
      <c r="S40" s="57"/>
      <c r="T40" s="57"/>
      <c r="U40" s="58"/>
    </row>
    <row r="41" spans="2:21" ht="78" customHeight="1" x14ac:dyDescent="0.2">
      <c r="B41" s="56" t="s">
        <v>386</v>
      </c>
      <c r="C41" s="57"/>
      <c r="D41" s="57"/>
      <c r="E41" s="57"/>
      <c r="F41" s="57"/>
      <c r="G41" s="57"/>
      <c r="H41" s="57"/>
      <c r="I41" s="57"/>
      <c r="J41" s="57"/>
      <c r="K41" s="57"/>
      <c r="L41" s="57"/>
      <c r="M41" s="57"/>
      <c r="N41" s="57"/>
      <c r="O41" s="57"/>
      <c r="P41" s="57"/>
      <c r="Q41" s="57"/>
      <c r="R41" s="57"/>
      <c r="S41" s="57"/>
      <c r="T41" s="57"/>
      <c r="U41" s="58"/>
    </row>
    <row r="42" spans="2:21" ht="50.25" customHeight="1" x14ac:dyDescent="0.2">
      <c r="B42" s="56" t="s">
        <v>387</v>
      </c>
      <c r="C42" s="57"/>
      <c r="D42" s="57"/>
      <c r="E42" s="57"/>
      <c r="F42" s="57"/>
      <c r="G42" s="57"/>
      <c r="H42" s="57"/>
      <c r="I42" s="57"/>
      <c r="J42" s="57"/>
      <c r="K42" s="57"/>
      <c r="L42" s="57"/>
      <c r="M42" s="57"/>
      <c r="N42" s="57"/>
      <c r="O42" s="57"/>
      <c r="P42" s="57"/>
      <c r="Q42" s="57"/>
      <c r="R42" s="57"/>
      <c r="S42" s="57"/>
      <c r="T42" s="57"/>
      <c r="U42" s="58"/>
    </row>
    <row r="43" spans="2:21" ht="51" customHeight="1" x14ac:dyDescent="0.2">
      <c r="B43" s="56" t="s">
        <v>388</v>
      </c>
      <c r="C43" s="57"/>
      <c r="D43" s="57"/>
      <c r="E43" s="57"/>
      <c r="F43" s="57"/>
      <c r="G43" s="57"/>
      <c r="H43" s="57"/>
      <c r="I43" s="57"/>
      <c r="J43" s="57"/>
      <c r="K43" s="57"/>
      <c r="L43" s="57"/>
      <c r="M43" s="57"/>
      <c r="N43" s="57"/>
      <c r="O43" s="57"/>
      <c r="P43" s="57"/>
      <c r="Q43" s="57"/>
      <c r="R43" s="57"/>
      <c r="S43" s="57"/>
      <c r="T43" s="57"/>
      <c r="U43" s="58"/>
    </row>
    <row r="44" spans="2:21" ht="37.5" customHeight="1" x14ac:dyDescent="0.2">
      <c r="B44" s="56" t="s">
        <v>389</v>
      </c>
      <c r="C44" s="57"/>
      <c r="D44" s="57"/>
      <c r="E44" s="57"/>
      <c r="F44" s="57"/>
      <c r="G44" s="57"/>
      <c r="H44" s="57"/>
      <c r="I44" s="57"/>
      <c r="J44" s="57"/>
      <c r="K44" s="57"/>
      <c r="L44" s="57"/>
      <c r="M44" s="57"/>
      <c r="N44" s="57"/>
      <c r="O44" s="57"/>
      <c r="P44" s="57"/>
      <c r="Q44" s="57"/>
      <c r="R44" s="57"/>
      <c r="S44" s="57"/>
      <c r="T44" s="57"/>
      <c r="U44" s="58"/>
    </row>
    <row r="45" spans="2:21" ht="53.25" customHeight="1" x14ac:dyDescent="0.2">
      <c r="B45" s="56" t="s">
        <v>390</v>
      </c>
      <c r="C45" s="57"/>
      <c r="D45" s="57"/>
      <c r="E45" s="57"/>
      <c r="F45" s="57"/>
      <c r="G45" s="57"/>
      <c r="H45" s="57"/>
      <c r="I45" s="57"/>
      <c r="J45" s="57"/>
      <c r="K45" s="57"/>
      <c r="L45" s="57"/>
      <c r="M45" s="57"/>
      <c r="N45" s="57"/>
      <c r="O45" s="57"/>
      <c r="P45" s="57"/>
      <c r="Q45" s="57"/>
      <c r="R45" s="57"/>
      <c r="S45" s="57"/>
      <c r="T45" s="57"/>
      <c r="U45" s="58"/>
    </row>
    <row r="46" spans="2:21" ht="40.5" customHeight="1" x14ac:dyDescent="0.2">
      <c r="B46" s="56" t="s">
        <v>391</v>
      </c>
      <c r="C46" s="57"/>
      <c r="D46" s="57"/>
      <c r="E46" s="57"/>
      <c r="F46" s="57"/>
      <c r="G46" s="57"/>
      <c r="H46" s="57"/>
      <c r="I46" s="57"/>
      <c r="J46" s="57"/>
      <c r="K46" s="57"/>
      <c r="L46" s="57"/>
      <c r="M46" s="57"/>
      <c r="N46" s="57"/>
      <c r="O46" s="57"/>
      <c r="P46" s="57"/>
      <c r="Q46" s="57"/>
      <c r="R46" s="57"/>
      <c r="S46" s="57"/>
      <c r="T46" s="57"/>
      <c r="U46" s="58"/>
    </row>
    <row r="47" spans="2:21" ht="78" customHeight="1" x14ac:dyDescent="0.2">
      <c r="B47" s="56" t="s">
        <v>392</v>
      </c>
      <c r="C47" s="57"/>
      <c r="D47" s="57"/>
      <c r="E47" s="57"/>
      <c r="F47" s="57"/>
      <c r="G47" s="57"/>
      <c r="H47" s="57"/>
      <c r="I47" s="57"/>
      <c r="J47" s="57"/>
      <c r="K47" s="57"/>
      <c r="L47" s="57"/>
      <c r="M47" s="57"/>
      <c r="N47" s="57"/>
      <c r="O47" s="57"/>
      <c r="P47" s="57"/>
      <c r="Q47" s="57"/>
      <c r="R47" s="57"/>
      <c r="S47" s="57"/>
      <c r="T47" s="57"/>
      <c r="U47" s="58"/>
    </row>
    <row r="48" spans="2:21" ht="63" customHeight="1" x14ac:dyDescent="0.2">
      <c r="B48" s="56" t="s">
        <v>393</v>
      </c>
      <c r="C48" s="57"/>
      <c r="D48" s="57"/>
      <c r="E48" s="57"/>
      <c r="F48" s="57"/>
      <c r="G48" s="57"/>
      <c r="H48" s="57"/>
      <c r="I48" s="57"/>
      <c r="J48" s="57"/>
      <c r="K48" s="57"/>
      <c r="L48" s="57"/>
      <c r="M48" s="57"/>
      <c r="N48" s="57"/>
      <c r="O48" s="57"/>
      <c r="P48" s="57"/>
      <c r="Q48" s="57"/>
      <c r="R48" s="57"/>
      <c r="S48" s="57"/>
      <c r="T48" s="57"/>
      <c r="U48" s="58"/>
    </row>
    <row r="49" spans="2:21" ht="73.349999999999994" customHeight="1" x14ac:dyDescent="0.2">
      <c r="B49" s="56" t="s">
        <v>394</v>
      </c>
      <c r="C49" s="57"/>
      <c r="D49" s="57"/>
      <c r="E49" s="57"/>
      <c r="F49" s="57"/>
      <c r="G49" s="57"/>
      <c r="H49" s="57"/>
      <c r="I49" s="57"/>
      <c r="J49" s="57"/>
      <c r="K49" s="57"/>
      <c r="L49" s="57"/>
      <c r="M49" s="57"/>
      <c r="N49" s="57"/>
      <c r="O49" s="57"/>
      <c r="P49" s="57"/>
      <c r="Q49" s="57"/>
      <c r="R49" s="57"/>
      <c r="S49" s="57"/>
      <c r="T49" s="57"/>
      <c r="U49" s="58"/>
    </row>
    <row r="50" spans="2:21" ht="44.25" customHeight="1" x14ac:dyDescent="0.2">
      <c r="B50" s="56" t="s">
        <v>395</v>
      </c>
      <c r="C50" s="57"/>
      <c r="D50" s="57"/>
      <c r="E50" s="57"/>
      <c r="F50" s="57"/>
      <c r="G50" s="57"/>
      <c r="H50" s="57"/>
      <c r="I50" s="57"/>
      <c r="J50" s="57"/>
      <c r="K50" s="57"/>
      <c r="L50" s="57"/>
      <c r="M50" s="57"/>
      <c r="N50" s="57"/>
      <c r="O50" s="57"/>
      <c r="P50" s="57"/>
      <c r="Q50" s="57"/>
      <c r="R50" s="57"/>
      <c r="S50" s="57"/>
      <c r="T50" s="57"/>
      <c r="U50" s="58"/>
    </row>
    <row r="51" spans="2:21" ht="58.5" customHeight="1" x14ac:dyDescent="0.2">
      <c r="B51" s="56" t="s">
        <v>396</v>
      </c>
      <c r="C51" s="57"/>
      <c r="D51" s="57"/>
      <c r="E51" s="57"/>
      <c r="F51" s="57"/>
      <c r="G51" s="57"/>
      <c r="H51" s="57"/>
      <c r="I51" s="57"/>
      <c r="J51" s="57"/>
      <c r="K51" s="57"/>
      <c r="L51" s="57"/>
      <c r="M51" s="57"/>
      <c r="N51" s="57"/>
      <c r="O51" s="57"/>
      <c r="P51" s="57"/>
      <c r="Q51" s="57"/>
      <c r="R51" s="57"/>
      <c r="S51" s="57"/>
      <c r="T51" s="57"/>
      <c r="U51" s="58"/>
    </row>
    <row r="52" spans="2:21" ht="53.25" customHeight="1" x14ac:dyDescent="0.2">
      <c r="B52" s="56" t="s">
        <v>397</v>
      </c>
      <c r="C52" s="57"/>
      <c r="D52" s="57"/>
      <c r="E52" s="57"/>
      <c r="F52" s="57"/>
      <c r="G52" s="57"/>
      <c r="H52" s="57"/>
      <c r="I52" s="57"/>
      <c r="J52" s="57"/>
      <c r="K52" s="57"/>
      <c r="L52" s="57"/>
      <c r="M52" s="57"/>
      <c r="N52" s="57"/>
      <c r="O52" s="57"/>
      <c r="P52" s="57"/>
      <c r="Q52" s="57"/>
      <c r="R52" s="57"/>
      <c r="S52" s="57"/>
      <c r="T52" s="57"/>
      <c r="U52" s="58"/>
    </row>
    <row r="53" spans="2:21" ht="34.5" customHeight="1" x14ac:dyDescent="0.2">
      <c r="B53" s="56" t="s">
        <v>398</v>
      </c>
      <c r="C53" s="57"/>
      <c r="D53" s="57"/>
      <c r="E53" s="57"/>
      <c r="F53" s="57"/>
      <c r="G53" s="57"/>
      <c r="H53" s="57"/>
      <c r="I53" s="57"/>
      <c r="J53" s="57"/>
      <c r="K53" s="57"/>
      <c r="L53" s="57"/>
      <c r="M53" s="57"/>
      <c r="N53" s="57"/>
      <c r="O53" s="57"/>
      <c r="P53" s="57"/>
      <c r="Q53" s="57"/>
      <c r="R53" s="57"/>
      <c r="S53" s="57"/>
      <c r="T53" s="57"/>
      <c r="U53" s="58"/>
    </row>
    <row r="54" spans="2:21" ht="83.25" customHeight="1" x14ac:dyDescent="0.2">
      <c r="B54" s="56" t="s">
        <v>399</v>
      </c>
      <c r="C54" s="57"/>
      <c r="D54" s="57"/>
      <c r="E54" s="57"/>
      <c r="F54" s="57"/>
      <c r="G54" s="57"/>
      <c r="H54" s="57"/>
      <c r="I54" s="57"/>
      <c r="J54" s="57"/>
      <c r="K54" s="57"/>
      <c r="L54" s="57"/>
      <c r="M54" s="57"/>
      <c r="N54" s="57"/>
      <c r="O54" s="57"/>
      <c r="P54" s="57"/>
      <c r="Q54" s="57"/>
      <c r="R54" s="57"/>
      <c r="S54" s="57"/>
      <c r="T54" s="57"/>
      <c r="U54" s="58"/>
    </row>
    <row r="55" spans="2:21" ht="76.5" customHeight="1" x14ac:dyDescent="0.2">
      <c r="B55" s="56" t="s">
        <v>400</v>
      </c>
      <c r="C55" s="57"/>
      <c r="D55" s="57"/>
      <c r="E55" s="57"/>
      <c r="F55" s="57"/>
      <c r="G55" s="57"/>
      <c r="H55" s="57"/>
      <c r="I55" s="57"/>
      <c r="J55" s="57"/>
      <c r="K55" s="57"/>
      <c r="L55" s="57"/>
      <c r="M55" s="57"/>
      <c r="N55" s="57"/>
      <c r="O55" s="57"/>
      <c r="P55" s="57"/>
      <c r="Q55" s="57"/>
      <c r="R55" s="57"/>
      <c r="S55" s="57"/>
      <c r="T55" s="57"/>
      <c r="U55" s="58"/>
    </row>
    <row r="56" spans="2:21" ht="68.25" customHeight="1" x14ac:dyDescent="0.2">
      <c r="B56" s="56" t="s">
        <v>401</v>
      </c>
      <c r="C56" s="57"/>
      <c r="D56" s="57"/>
      <c r="E56" s="57"/>
      <c r="F56" s="57"/>
      <c r="G56" s="57"/>
      <c r="H56" s="57"/>
      <c r="I56" s="57"/>
      <c r="J56" s="57"/>
      <c r="K56" s="57"/>
      <c r="L56" s="57"/>
      <c r="M56" s="57"/>
      <c r="N56" s="57"/>
      <c r="O56" s="57"/>
      <c r="P56" s="57"/>
      <c r="Q56" s="57"/>
      <c r="R56" s="57"/>
      <c r="S56" s="57"/>
      <c r="T56" s="57"/>
      <c r="U56" s="58"/>
    </row>
    <row r="57" spans="2:21" ht="61.5" customHeight="1" x14ac:dyDescent="0.2">
      <c r="B57" s="56" t="s">
        <v>402</v>
      </c>
      <c r="C57" s="57"/>
      <c r="D57" s="57"/>
      <c r="E57" s="57"/>
      <c r="F57" s="57"/>
      <c r="G57" s="57"/>
      <c r="H57" s="57"/>
      <c r="I57" s="57"/>
      <c r="J57" s="57"/>
      <c r="K57" s="57"/>
      <c r="L57" s="57"/>
      <c r="M57" s="57"/>
      <c r="N57" s="57"/>
      <c r="O57" s="57"/>
      <c r="P57" s="57"/>
      <c r="Q57" s="57"/>
      <c r="R57" s="57"/>
      <c r="S57" s="57"/>
      <c r="T57" s="57"/>
      <c r="U57" s="58"/>
    </row>
    <row r="58" spans="2:21" ht="60.75" customHeight="1" thickBot="1" x14ac:dyDescent="0.25">
      <c r="B58" s="59" t="s">
        <v>403</v>
      </c>
      <c r="C58" s="60"/>
      <c r="D58" s="60"/>
      <c r="E58" s="60"/>
      <c r="F58" s="60"/>
      <c r="G58" s="60"/>
      <c r="H58" s="60"/>
      <c r="I58" s="60"/>
      <c r="J58" s="60"/>
      <c r="K58" s="60"/>
      <c r="L58" s="60"/>
      <c r="M58" s="60"/>
      <c r="N58" s="60"/>
      <c r="O58" s="60"/>
      <c r="P58" s="60"/>
      <c r="Q58" s="60"/>
      <c r="R58" s="60"/>
      <c r="S58" s="60"/>
      <c r="T58" s="60"/>
      <c r="U58" s="61"/>
    </row>
  </sheetData>
  <mergeCells count="107">
    <mergeCell ref="B8:B10"/>
    <mergeCell ref="C8:H10"/>
    <mergeCell ref="I8:S8"/>
    <mergeCell ref="T8:U8"/>
    <mergeCell ref="I9:K10"/>
    <mergeCell ref="L9:O10"/>
    <mergeCell ref="B1:L1"/>
    <mergeCell ref="D4:H4"/>
    <mergeCell ref="L4:O4"/>
    <mergeCell ref="Q4:R4"/>
    <mergeCell ref="T4:U4"/>
    <mergeCell ref="B5:U5"/>
    <mergeCell ref="P9:P10"/>
    <mergeCell ref="Q9:Q10"/>
    <mergeCell ref="R9:S9"/>
    <mergeCell ref="T9:T10"/>
    <mergeCell ref="U9:U10"/>
    <mergeCell ref="C11:H11"/>
    <mergeCell ref="I11:K11"/>
    <mergeCell ref="L11:O11"/>
    <mergeCell ref="C6:G6"/>
    <mergeCell ref="K6:M6"/>
    <mergeCell ref="P6:Q6"/>
    <mergeCell ref="T6:U6"/>
    <mergeCell ref="C14:H14"/>
    <mergeCell ref="I14:K14"/>
    <mergeCell ref="L14:O14"/>
    <mergeCell ref="C15:H15"/>
    <mergeCell ref="I15:K15"/>
    <mergeCell ref="L15:O15"/>
    <mergeCell ref="C12:H12"/>
    <mergeCell ref="I12:K12"/>
    <mergeCell ref="L12:O12"/>
    <mergeCell ref="C13:H13"/>
    <mergeCell ref="I13:K13"/>
    <mergeCell ref="L13:O13"/>
    <mergeCell ref="C18:H18"/>
    <mergeCell ref="I18:K18"/>
    <mergeCell ref="L18:O18"/>
    <mergeCell ref="C19:H19"/>
    <mergeCell ref="I19:K19"/>
    <mergeCell ref="L19:O19"/>
    <mergeCell ref="C16:H16"/>
    <mergeCell ref="I16:K16"/>
    <mergeCell ref="L16:O16"/>
    <mergeCell ref="C17:H17"/>
    <mergeCell ref="I17:K17"/>
    <mergeCell ref="L17:O17"/>
    <mergeCell ref="C22:H22"/>
    <mergeCell ref="I22:K22"/>
    <mergeCell ref="L22:O22"/>
    <mergeCell ref="C23:H23"/>
    <mergeCell ref="I23:K23"/>
    <mergeCell ref="L23:O23"/>
    <mergeCell ref="C20:H20"/>
    <mergeCell ref="I20:K20"/>
    <mergeCell ref="L20:O20"/>
    <mergeCell ref="C21:H21"/>
    <mergeCell ref="I21:K21"/>
    <mergeCell ref="L21:O21"/>
    <mergeCell ref="C26:H26"/>
    <mergeCell ref="I26:K26"/>
    <mergeCell ref="L26:O26"/>
    <mergeCell ref="C27:H27"/>
    <mergeCell ref="I27:K27"/>
    <mergeCell ref="L27:O27"/>
    <mergeCell ref="C24:H24"/>
    <mergeCell ref="I24:K24"/>
    <mergeCell ref="L24:O24"/>
    <mergeCell ref="C25:H25"/>
    <mergeCell ref="I25:K25"/>
    <mergeCell ref="L25:O25"/>
    <mergeCell ref="C30:H30"/>
    <mergeCell ref="I30:K30"/>
    <mergeCell ref="L30:O30"/>
    <mergeCell ref="C31:H31"/>
    <mergeCell ref="I31:K31"/>
    <mergeCell ref="L31:O31"/>
    <mergeCell ref="C28:H28"/>
    <mergeCell ref="I28:K28"/>
    <mergeCell ref="L28:O28"/>
    <mergeCell ref="C29:H29"/>
    <mergeCell ref="I29:K29"/>
    <mergeCell ref="L29:O29"/>
    <mergeCell ref="B41:U41"/>
    <mergeCell ref="B42:U42"/>
    <mergeCell ref="B43:U43"/>
    <mergeCell ref="B44:U44"/>
    <mergeCell ref="B45:U45"/>
    <mergeCell ref="B46:U46"/>
    <mergeCell ref="B35:D35"/>
    <mergeCell ref="B36:D36"/>
    <mergeCell ref="B38:U38"/>
    <mergeCell ref="B39:U39"/>
    <mergeCell ref="B40:U40"/>
    <mergeCell ref="B53:U53"/>
    <mergeCell ref="B54:U54"/>
    <mergeCell ref="B55:U55"/>
    <mergeCell ref="B56:U56"/>
    <mergeCell ref="B57:U57"/>
    <mergeCell ref="B58:U58"/>
    <mergeCell ref="B47:U47"/>
    <mergeCell ref="B48:U48"/>
    <mergeCell ref="B49:U49"/>
    <mergeCell ref="B50:U50"/>
    <mergeCell ref="B51:U51"/>
    <mergeCell ref="B52:U52"/>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7"/>
  <sheetViews>
    <sheetView topLeftCell="L25" zoomScale="80" zoomScaleNormal="80" zoomScaleSheetLayoutView="80" workbookViewId="0">
      <selection activeCell="S34" sqref="S34:U35"/>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3" style="1" customWidth="1"/>
    <col min="20" max="20" width="10.75" style="1" customWidth="1"/>
    <col min="21" max="21" width="11.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2" t="s">
        <v>0</v>
      </c>
      <c r="C1" s="52"/>
      <c r="D1" s="52"/>
      <c r="E1" s="52"/>
      <c r="F1" s="52"/>
      <c r="G1" s="52"/>
      <c r="H1" s="52"/>
      <c r="I1" s="52"/>
      <c r="J1" s="52"/>
      <c r="K1" s="52"/>
      <c r="L1" s="52"/>
      <c r="M1" s="3" t="s">
        <v>1</v>
      </c>
    </row>
    <row r="2" spans="1:21" ht="13.5" customHeight="1" thickBot="1" x14ac:dyDescent="0.25"/>
    <row r="3" spans="1:21" ht="20.2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9" t="s">
        <v>6</v>
      </c>
      <c r="C4" s="40" t="s">
        <v>404</v>
      </c>
      <c r="D4" s="90" t="s">
        <v>405</v>
      </c>
      <c r="E4" s="90"/>
      <c r="F4" s="90"/>
      <c r="G4" s="90"/>
      <c r="H4" s="90"/>
      <c r="I4" s="41"/>
      <c r="J4" s="42" t="s">
        <v>9</v>
      </c>
      <c r="K4" s="43" t="s">
        <v>10</v>
      </c>
      <c r="L4" s="91" t="s">
        <v>11</v>
      </c>
      <c r="M4" s="91"/>
      <c r="N4" s="91"/>
      <c r="O4" s="91"/>
      <c r="P4" s="42" t="s">
        <v>12</v>
      </c>
      <c r="Q4" s="91" t="s">
        <v>406</v>
      </c>
      <c r="R4" s="91"/>
      <c r="S4" s="42" t="s">
        <v>14</v>
      </c>
      <c r="T4" s="91"/>
      <c r="U4" s="92"/>
    </row>
    <row r="5" spans="1:21" ht="15.75" customHeight="1" x14ac:dyDescent="0.2">
      <c r="B5" s="93" t="s">
        <v>15</v>
      </c>
      <c r="C5" s="94"/>
      <c r="D5" s="94"/>
      <c r="E5" s="94"/>
      <c r="F5" s="94"/>
      <c r="G5" s="94"/>
      <c r="H5" s="94"/>
      <c r="I5" s="94"/>
      <c r="J5" s="94"/>
      <c r="K5" s="94"/>
      <c r="L5" s="94"/>
      <c r="M5" s="94"/>
      <c r="N5" s="94"/>
      <c r="O5" s="94"/>
      <c r="P5" s="94"/>
      <c r="Q5" s="94"/>
      <c r="R5" s="94"/>
      <c r="S5" s="94"/>
      <c r="T5" s="94"/>
      <c r="U5" s="95"/>
    </row>
    <row r="6" spans="1:21" ht="63.75" customHeight="1" thickBot="1" x14ac:dyDescent="0.25">
      <c r="B6" s="44" t="s">
        <v>16</v>
      </c>
      <c r="C6" s="98" t="s">
        <v>17</v>
      </c>
      <c r="D6" s="98"/>
      <c r="E6" s="98"/>
      <c r="F6" s="98"/>
      <c r="G6" s="98"/>
      <c r="H6" s="45"/>
      <c r="I6" s="45"/>
      <c r="J6" s="45" t="s">
        <v>18</v>
      </c>
      <c r="K6" s="98" t="s">
        <v>19</v>
      </c>
      <c r="L6" s="98"/>
      <c r="M6" s="98"/>
      <c r="N6" s="46"/>
      <c r="O6" s="45" t="s">
        <v>20</v>
      </c>
      <c r="P6" s="98" t="s">
        <v>21</v>
      </c>
      <c r="Q6" s="98"/>
      <c r="R6" s="47"/>
      <c r="S6" s="45" t="s">
        <v>22</v>
      </c>
      <c r="T6" s="98" t="s">
        <v>23</v>
      </c>
      <c r="U6" s="99"/>
    </row>
    <row r="7" spans="1:21" ht="2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5" t="s">
        <v>25</v>
      </c>
      <c r="C8" s="71" t="s">
        <v>26</v>
      </c>
      <c r="D8" s="71"/>
      <c r="E8" s="71"/>
      <c r="F8" s="71"/>
      <c r="G8" s="71"/>
      <c r="H8" s="78"/>
      <c r="I8" s="83" t="s">
        <v>27</v>
      </c>
      <c r="J8" s="84"/>
      <c r="K8" s="84"/>
      <c r="L8" s="84"/>
      <c r="M8" s="84"/>
      <c r="N8" s="84"/>
      <c r="O8" s="84"/>
      <c r="P8" s="84"/>
      <c r="Q8" s="84"/>
      <c r="R8" s="84"/>
      <c r="S8" s="85"/>
      <c r="T8" s="86" t="s">
        <v>28</v>
      </c>
      <c r="U8" s="87"/>
    </row>
    <row r="9" spans="1:21" ht="19.5" customHeight="1" x14ac:dyDescent="0.2">
      <c r="B9" s="76"/>
      <c r="C9" s="79"/>
      <c r="D9" s="79"/>
      <c r="E9" s="79"/>
      <c r="F9" s="79"/>
      <c r="G9" s="79"/>
      <c r="H9" s="80"/>
      <c r="I9" s="88" t="s">
        <v>29</v>
      </c>
      <c r="J9" s="71"/>
      <c r="K9" s="71"/>
      <c r="L9" s="71" t="s">
        <v>30</v>
      </c>
      <c r="M9" s="71"/>
      <c r="N9" s="71"/>
      <c r="O9" s="71"/>
      <c r="P9" s="71" t="s">
        <v>31</v>
      </c>
      <c r="Q9" s="71" t="s">
        <v>32</v>
      </c>
      <c r="R9" s="73" t="s">
        <v>33</v>
      </c>
      <c r="S9" s="74"/>
      <c r="T9" s="71" t="s">
        <v>34</v>
      </c>
      <c r="U9" s="96" t="s">
        <v>35</v>
      </c>
    </row>
    <row r="10" spans="1:21" ht="43.5" customHeight="1" thickBot="1" x14ac:dyDescent="0.25">
      <c r="B10" s="77"/>
      <c r="C10" s="81"/>
      <c r="D10" s="81"/>
      <c r="E10" s="81"/>
      <c r="F10" s="81"/>
      <c r="G10" s="81"/>
      <c r="H10" s="82"/>
      <c r="I10" s="89"/>
      <c r="J10" s="72"/>
      <c r="K10" s="72"/>
      <c r="L10" s="72"/>
      <c r="M10" s="72"/>
      <c r="N10" s="72"/>
      <c r="O10" s="72"/>
      <c r="P10" s="72"/>
      <c r="Q10" s="72"/>
      <c r="R10" s="9" t="s">
        <v>36</v>
      </c>
      <c r="S10" s="10" t="s">
        <v>37</v>
      </c>
      <c r="T10" s="72"/>
      <c r="U10" s="97"/>
    </row>
    <row r="11" spans="1:21" ht="137.25" customHeight="1" thickTop="1" x14ac:dyDescent="0.2">
      <c r="A11" s="11"/>
      <c r="B11" s="12" t="s">
        <v>38</v>
      </c>
      <c r="C11" s="70" t="s">
        <v>407</v>
      </c>
      <c r="D11" s="70"/>
      <c r="E11" s="70"/>
      <c r="F11" s="70"/>
      <c r="G11" s="70"/>
      <c r="H11" s="70"/>
      <c r="I11" s="70" t="s">
        <v>408</v>
      </c>
      <c r="J11" s="70"/>
      <c r="K11" s="70"/>
      <c r="L11" s="101" t="s">
        <v>409</v>
      </c>
      <c r="M11" s="101"/>
      <c r="N11" s="101"/>
      <c r="O11" s="101"/>
      <c r="P11" s="13" t="s">
        <v>410</v>
      </c>
      <c r="Q11" s="13" t="s">
        <v>155</v>
      </c>
      <c r="R11" s="33">
        <v>82.28</v>
      </c>
      <c r="S11" s="33">
        <v>82.4</v>
      </c>
      <c r="T11" s="33">
        <v>82.44</v>
      </c>
      <c r="U11" s="34">
        <f>100.05</f>
        <v>100.05</v>
      </c>
    </row>
    <row r="12" spans="1:21" ht="75" customHeight="1" x14ac:dyDescent="0.2">
      <c r="A12" s="11"/>
      <c r="B12" s="14" t="s">
        <v>51</v>
      </c>
      <c r="C12" s="62" t="s">
        <v>51</v>
      </c>
      <c r="D12" s="62"/>
      <c r="E12" s="62"/>
      <c r="F12" s="62"/>
      <c r="G12" s="62"/>
      <c r="H12" s="62"/>
      <c r="I12" s="62" t="s">
        <v>153</v>
      </c>
      <c r="J12" s="62"/>
      <c r="K12" s="62"/>
      <c r="L12" s="103" t="s">
        <v>154</v>
      </c>
      <c r="M12" s="103"/>
      <c r="N12" s="103"/>
      <c r="O12" s="103"/>
      <c r="P12" s="15" t="s">
        <v>49</v>
      </c>
      <c r="Q12" s="15" t="s">
        <v>155</v>
      </c>
      <c r="R12" s="35" t="s">
        <v>44</v>
      </c>
      <c r="S12" s="35">
        <v>97.28</v>
      </c>
      <c r="T12" s="35">
        <v>100</v>
      </c>
      <c r="U12" s="36">
        <f>102.8</f>
        <v>102.8</v>
      </c>
    </row>
    <row r="13" spans="1:21" ht="117" customHeight="1" x14ac:dyDescent="0.2">
      <c r="A13" s="11"/>
      <c r="B13" s="14" t="s">
        <v>51</v>
      </c>
      <c r="C13" s="62" t="s">
        <v>51</v>
      </c>
      <c r="D13" s="62"/>
      <c r="E13" s="62"/>
      <c r="F13" s="62"/>
      <c r="G13" s="62"/>
      <c r="H13" s="62"/>
      <c r="I13" s="62" t="s">
        <v>156</v>
      </c>
      <c r="J13" s="62"/>
      <c r="K13" s="62"/>
      <c r="L13" s="103" t="s">
        <v>157</v>
      </c>
      <c r="M13" s="103"/>
      <c r="N13" s="103"/>
      <c r="O13" s="103"/>
      <c r="P13" s="15" t="s">
        <v>49</v>
      </c>
      <c r="Q13" s="15" t="s">
        <v>155</v>
      </c>
      <c r="R13" s="35" t="s">
        <v>44</v>
      </c>
      <c r="S13" s="35">
        <v>100</v>
      </c>
      <c r="T13" s="35">
        <v>100</v>
      </c>
      <c r="U13" s="36">
        <f>100</f>
        <v>100</v>
      </c>
    </row>
    <row r="14" spans="1:21" ht="117" customHeight="1" thickBot="1" x14ac:dyDescent="0.25">
      <c r="A14" s="11"/>
      <c r="B14" s="14" t="s">
        <v>51</v>
      </c>
      <c r="C14" s="62" t="s">
        <v>51</v>
      </c>
      <c r="D14" s="62"/>
      <c r="E14" s="62"/>
      <c r="F14" s="62"/>
      <c r="G14" s="62"/>
      <c r="H14" s="62"/>
      <c r="I14" s="62" t="s">
        <v>411</v>
      </c>
      <c r="J14" s="62"/>
      <c r="K14" s="62"/>
      <c r="L14" s="103" t="s">
        <v>159</v>
      </c>
      <c r="M14" s="103"/>
      <c r="N14" s="103"/>
      <c r="O14" s="103"/>
      <c r="P14" s="15" t="s">
        <v>49</v>
      </c>
      <c r="Q14" s="15" t="s">
        <v>155</v>
      </c>
      <c r="R14" s="35" t="s">
        <v>44</v>
      </c>
      <c r="S14" s="35">
        <v>100</v>
      </c>
      <c r="T14" s="35">
        <v>100</v>
      </c>
      <c r="U14" s="36">
        <f>100</f>
        <v>100</v>
      </c>
    </row>
    <row r="15" spans="1:21" ht="109.5" customHeight="1" thickTop="1" thickBot="1" x14ac:dyDescent="0.25">
      <c r="A15" s="11"/>
      <c r="B15" s="12" t="s">
        <v>45</v>
      </c>
      <c r="C15" s="70" t="s">
        <v>412</v>
      </c>
      <c r="D15" s="70"/>
      <c r="E15" s="70"/>
      <c r="F15" s="70"/>
      <c r="G15" s="70"/>
      <c r="H15" s="70"/>
      <c r="I15" s="70" t="s">
        <v>413</v>
      </c>
      <c r="J15" s="70"/>
      <c r="K15" s="70"/>
      <c r="L15" s="101" t="s">
        <v>414</v>
      </c>
      <c r="M15" s="101"/>
      <c r="N15" s="101"/>
      <c r="O15" s="101"/>
      <c r="P15" s="13" t="s">
        <v>49</v>
      </c>
      <c r="Q15" s="13" t="s">
        <v>155</v>
      </c>
      <c r="R15" s="33" t="s">
        <v>44</v>
      </c>
      <c r="S15" s="33">
        <v>90.42</v>
      </c>
      <c r="T15" s="33">
        <v>80</v>
      </c>
      <c r="U15" s="34">
        <f>88.48</f>
        <v>88.48</v>
      </c>
    </row>
    <row r="16" spans="1:21" ht="108" customHeight="1" thickTop="1" x14ac:dyDescent="0.2">
      <c r="A16" s="11"/>
      <c r="B16" s="12" t="s">
        <v>54</v>
      </c>
      <c r="C16" s="70" t="s">
        <v>415</v>
      </c>
      <c r="D16" s="70"/>
      <c r="E16" s="70"/>
      <c r="F16" s="70"/>
      <c r="G16" s="70"/>
      <c r="H16" s="70"/>
      <c r="I16" s="70" t="s">
        <v>416</v>
      </c>
      <c r="J16" s="70"/>
      <c r="K16" s="70"/>
      <c r="L16" s="101" t="s">
        <v>417</v>
      </c>
      <c r="M16" s="101"/>
      <c r="N16" s="101"/>
      <c r="O16" s="101"/>
      <c r="P16" s="13" t="s">
        <v>49</v>
      </c>
      <c r="Q16" s="13" t="s">
        <v>155</v>
      </c>
      <c r="R16" s="33">
        <v>0.02</v>
      </c>
      <c r="S16" s="33">
        <v>100</v>
      </c>
      <c r="T16" s="33">
        <v>252.11</v>
      </c>
      <c r="U16" s="34">
        <f>252</f>
        <v>252</v>
      </c>
    </row>
    <row r="17" spans="1:22" ht="84.75" customHeight="1" x14ac:dyDescent="0.2">
      <c r="A17" s="11"/>
      <c r="B17" s="14" t="s">
        <v>51</v>
      </c>
      <c r="C17" s="62" t="s">
        <v>51</v>
      </c>
      <c r="D17" s="62"/>
      <c r="E17" s="62"/>
      <c r="F17" s="62"/>
      <c r="G17" s="62"/>
      <c r="H17" s="62"/>
      <c r="I17" s="62" t="s">
        <v>418</v>
      </c>
      <c r="J17" s="62"/>
      <c r="K17" s="62"/>
      <c r="L17" s="103" t="s">
        <v>419</v>
      </c>
      <c r="M17" s="103"/>
      <c r="N17" s="103"/>
      <c r="O17" s="103"/>
      <c r="P17" s="15" t="s">
        <v>49</v>
      </c>
      <c r="Q17" s="15" t="s">
        <v>155</v>
      </c>
      <c r="R17" s="35">
        <v>100</v>
      </c>
      <c r="S17" s="35">
        <v>100</v>
      </c>
      <c r="T17" s="35">
        <v>100</v>
      </c>
      <c r="U17" s="36">
        <f>100</f>
        <v>100</v>
      </c>
    </row>
    <row r="18" spans="1:22" ht="105.75" customHeight="1" x14ac:dyDescent="0.2">
      <c r="A18" s="11"/>
      <c r="B18" s="14" t="s">
        <v>51</v>
      </c>
      <c r="C18" s="62" t="s">
        <v>420</v>
      </c>
      <c r="D18" s="62"/>
      <c r="E18" s="62"/>
      <c r="F18" s="62"/>
      <c r="G18" s="62"/>
      <c r="H18" s="62"/>
      <c r="I18" s="62" t="s">
        <v>421</v>
      </c>
      <c r="J18" s="62"/>
      <c r="K18" s="62"/>
      <c r="L18" s="103" t="s">
        <v>422</v>
      </c>
      <c r="M18" s="103"/>
      <c r="N18" s="103"/>
      <c r="O18" s="103"/>
      <c r="P18" s="15" t="s">
        <v>49</v>
      </c>
      <c r="Q18" s="15" t="s">
        <v>155</v>
      </c>
      <c r="R18" s="35">
        <v>99.5</v>
      </c>
      <c r="S18" s="35">
        <v>99.5</v>
      </c>
      <c r="T18" s="35">
        <v>99.86</v>
      </c>
      <c r="U18" s="36">
        <f>100.36</f>
        <v>100.36</v>
      </c>
    </row>
    <row r="19" spans="1:22" ht="205.5" customHeight="1" thickBot="1" x14ac:dyDescent="0.25">
      <c r="A19" s="11"/>
      <c r="B19" s="14" t="s">
        <v>51</v>
      </c>
      <c r="C19" s="62" t="s">
        <v>423</v>
      </c>
      <c r="D19" s="62"/>
      <c r="E19" s="62"/>
      <c r="F19" s="62"/>
      <c r="G19" s="62"/>
      <c r="H19" s="62"/>
      <c r="I19" s="62" t="s">
        <v>424</v>
      </c>
      <c r="J19" s="62"/>
      <c r="K19" s="62"/>
      <c r="L19" s="103" t="s">
        <v>425</v>
      </c>
      <c r="M19" s="103"/>
      <c r="N19" s="103"/>
      <c r="O19" s="103"/>
      <c r="P19" s="15" t="s">
        <v>49</v>
      </c>
      <c r="Q19" s="15" t="s">
        <v>166</v>
      </c>
      <c r="R19" s="35">
        <v>92.59</v>
      </c>
      <c r="S19" s="35">
        <v>90.53</v>
      </c>
      <c r="T19" s="35">
        <v>38.950000000000003</v>
      </c>
      <c r="U19" s="36">
        <f>43.02</f>
        <v>43.02</v>
      </c>
    </row>
    <row r="20" spans="1:22" ht="75" customHeight="1" thickTop="1" x14ac:dyDescent="0.2">
      <c r="A20" s="11"/>
      <c r="B20" s="12" t="s">
        <v>76</v>
      </c>
      <c r="C20" s="70" t="s">
        <v>426</v>
      </c>
      <c r="D20" s="70"/>
      <c r="E20" s="70"/>
      <c r="F20" s="70"/>
      <c r="G20" s="70"/>
      <c r="H20" s="70"/>
      <c r="I20" s="70" t="s">
        <v>427</v>
      </c>
      <c r="J20" s="70"/>
      <c r="K20" s="70"/>
      <c r="L20" s="101" t="s">
        <v>428</v>
      </c>
      <c r="M20" s="101"/>
      <c r="N20" s="101"/>
      <c r="O20" s="101"/>
      <c r="P20" s="13" t="s">
        <v>49</v>
      </c>
      <c r="Q20" s="13" t="s">
        <v>64</v>
      </c>
      <c r="R20" s="33">
        <v>100</v>
      </c>
      <c r="S20" s="33">
        <v>100</v>
      </c>
      <c r="T20" s="33">
        <v>104.06</v>
      </c>
      <c r="U20" s="34">
        <f>104.06</f>
        <v>104.06</v>
      </c>
    </row>
    <row r="21" spans="1:22" ht="75" customHeight="1" x14ac:dyDescent="0.2">
      <c r="A21" s="11"/>
      <c r="B21" s="14" t="s">
        <v>51</v>
      </c>
      <c r="C21" s="62" t="s">
        <v>429</v>
      </c>
      <c r="D21" s="62"/>
      <c r="E21" s="62"/>
      <c r="F21" s="62"/>
      <c r="G21" s="62"/>
      <c r="H21" s="62"/>
      <c r="I21" s="62" t="s">
        <v>430</v>
      </c>
      <c r="J21" s="62"/>
      <c r="K21" s="62"/>
      <c r="L21" s="103" t="s">
        <v>431</v>
      </c>
      <c r="M21" s="103"/>
      <c r="N21" s="103"/>
      <c r="O21" s="103"/>
      <c r="P21" s="15" t="s">
        <v>49</v>
      </c>
      <c r="Q21" s="15" t="s">
        <v>64</v>
      </c>
      <c r="R21" s="35">
        <v>100</v>
      </c>
      <c r="S21" s="35">
        <v>100</v>
      </c>
      <c r="T21" s="35">
        <v>106.83</v>
      </c>
      <c r="U21" s="36">
        <f>106.83</f>
        <v>106.83</v>
      </c>
    </row>
    <row r="22" spans="1:22" ht="75" customHeight="1" x14ac:dyDescent="0.2">
      <c r="A22" s="11"/>
      <c r="B22" s="14" t="s">
        <v>51</v>
      </c>
      <c r="C22" s="62" t="s">
        <v>432</v>
      </c>
      <c r="D22" s="62"/>
      <c r="E22" s="62"/>
      <c r="F22" s="62"/>
      <c r="G22" s="62"/>
      <c r="H22" s="62"/>
      <c r="I22" s="62" t="s">
        <v>433</v>
      </c>
      <c r="J22" s="62"/>
      <c r="K22" s="62"/>
      <c r="L22" s="103" t="s">
        <v>434</v>
      </c>
      <c r="M22" s="103"/>
      <c r="N22" s="103"/>
      <c r="O22" s="103"/>
      <c r="P22" s="15" t="s">
        <v>49</v>
      </c>
      <c r="Q22" s="15" t="s">
        <v>64</v>
      </c>
      <c r="R22" s="35">
        <v>100</v>
      </c>
      <c r="S22" s="35">
        <v>100</v>
      </c>
      <c r="T22" s="35">
        <v>229.08</v>
      </c>
      <c r="U22" s="36">
        <f>229.08</f>
        <v>229.08</v>
      </c>
    </row>
    <row r="23" spans="1:22" ht="75" customHeight="1" x14ac:dyDescent="0.2">
      <c r="A23" s="11"/>
      <c r="B23" s="14" t="s">
        <v>51</v>
      </c>
      <c r="C23" s="62" t="s">
        <v>435</v>
      </c>
      <c r="D23" s="62"/>
      <c r="E23" s="62"/>
      <c r="F23" s="62"/>
      <c r="G23" s="62"/>
      <c r="H23" s="62"/>
      <c r="I23" s="62" t="s">
        <v>436</v>
      </c>
      <c r="J23" s="62"/>
      <c r="K23" s="62"/>
      <c r="L23" s="103" t="s">
        <v>437</v>
      </c>
      <c r="M23" s="103"/>
      <c r="N23" s="103"/>
      <c r="O23" s="103"/>
      <c r="P23" s="15" t="s">
        <v>49</v>
      </c>
      <c r="Q23" s="15" t="s">
        <v>64</v>
      </c>
      <c r="R23" s="35" t="s">
        <v>44</v>
      </c>
      <c r="S23" s="35">
        <v>100</v>
      </c>
      <c r="T23" s="35">
        <v>137</v>
      </c>
      <c r="U23" s="36">
        <f>137</f>
        <v>137</v>
      </c>
    </row>
    <row r="24" spans="1:22" ht="142.5" customHeight="1" x14ac:dyDescent="0.2">
      <c r="A24" s="11"/>
      <c r="B24" s="14" t="s">
        <v>51</v>
      </c>
      <c r="C24" s="62" t="s">
        <v>438</v>
      </c>
      <c r="D24" s="62"/>
      <c r="E24" s="62"/>
      <c r="F24" s="62"/>
      <c r="G24" s="62"/>
      <c r="H24" s="62"/>
      <c r="I24" s="62" t="s">
        <v>439</v>
      </c>
      <c r="J24" s="62"/>
      <c r="K24" s="62"/>
      <c r="L24" s="103" t="s">
        <v>440</v>
      </c>
      <c r="M24" s="103"/>
      <c r="N24" s="103"/>
      <c r="O24" s="103"/>
      <c r="P24" s="15" t="s">
        <v>49</v>
      </c>
      <c r="Q24" s="15" t="s">
        <v>64</v>
      </c>
      <c r="R24" s="35">
        <v>95</v>
      </c>
      <c r="S24" s="35">
        <v>100</v>
      </c>
      <c r="T24" s="35">
        <v>89.09</v>
      </c>
      <c r="U24" s="36">
        <f>89.09</f>
        <v>89.09</v>
      </c>
    </row>
    <row r="25" spans="1:22" ht="108.75" customHeight="1" thickBot="1" x14ac:dyDescent="0.25">
      <c r="A25" s="11"/>
      <c r="B25" s="14" t="s">
        <v>51</v>
      </c>
      <c r="C25" s="62" t="s">
        <v>51</v>
      </c>
      <c r="D25" s="62"/>
      <c r="E25" s="62"/>
      <c r="F25" s="62"/>
      <c r="G25" s="62"/>
      <c r="H25" s="62"/>
      <c r="I25" s="62" t="s">
        <v>441</v>
      </c>
      <c r="J25" s="62"/>
      <c r="K25" s="62"/>
      <c r="L25" s="103" t="s">
        <v>442</v>
      </c>
      <c r="M25" s="103"/>
      <c r="N25" s="103"/>
      <c r="O25" s="103"/>
      <c r="P25" s="15" t="s">
        <v>49</v>
      </c>
      <c r="Q25" s="15" t="s">
        <v>64</v>
      </c>
      <c r="R25" s="35" t="s">
        <v>44</v>
      </c>
      <c r="S25" s="35">
        <v>100</v>
      </c>
      <c r="T25" s="35">
        <v>95</v>
      </c>
      <c r="U25" s="36">
        <f>95</f>
        <v>95</v>
      </c>
    </row>
    <row r="26" spans="1:22" ht="14.25" customHeight="1" thickTop="1" thickBot="1" x14ac:dyDescent="0.25">
      <c r="B26" s="4" t="s">
        <v>108</v>
      </c>
      <c r="C26" s="5"/>
      <c r="D26" s="5"/>
      <c r="E26" s="5"/>
      <c r="F26" s="5"/>
      <c r="G26" s="5"/>
      <c r="H26" s="6"/>
      <c r="I26" s="6"/>
      <c r="J26" s="6"/>
      <c r="K26" s="6"/>
      <c r="L26" s="6"/>
      <c r="M26" s="6"/>
      <c r="N26" s="6"/>
      <c r="O26" s="6"/>
      <c r="P26" s="6"/>
      <c r="Q26" s="6"/>
      <c r="R26" s="6"/>
      <c r="S26" s="6"/>
      <c r="T26" s="6"/>
      <c r="U26" s="7"/>
      <c r="V26" s="16"/>
    </row>
    <row r="27" spans="1:22" ht="26.25" customHeight="1" thickTop="1" x14ac:dyDescent="0.2">
      <c r="B27" s="17"/>
      <c r="C27" s="18"/>
      <c r="D27" s="18"/>
      <c r="E27" s="18"/>
      <c r="F27" s="18"/>
      <c r="G27" s="18"/>
      <c r="H27" s="19"/>
      <c r="I27" s="19"/>
      <c r="J27" s="19"/>
      <c r="K27" s="19"/>
      <c r="L27" s="19"/>
      <c r="M27" s="19"/>
      <c r="N27" s="19"/>
      <c r="O27" s="19"/>
      <c r="P27" s="19"/>
      <c r="Q27" s="19"/>
      <c r="R27" s="20"/>
      <c r="S27" s="21" t="s">
        <v>33</v>
      </c>
      <c r="T27" s="21" t="s">
        <v>109</v>
      </c>
      <c r="U27" s="8" t="s">
        <v>110</v>
      </c>
    </row>
    <row r="28" spans="1:22" ht="51.75" customHeight="1" thickBot="1" x14ac:dyDescent="0.25">
      <c r="B28" s="22"/>
      <c r="C28" s="23"/>
      <c r="D28" s="23"/>
      <c r="E28" s="23"/>
      <c r="F28" s="23"/>
      <c r="G28" s="23"/>
      <c r="H28" s="24"/>
      <c r="I28" s="24"/>
      <c r="J28" s="24"/>
      <c r="K28" s="24"/>
      <c r="L28" s="24"/>
      <c r="M28" s="24"/>
      <c r="N28" s="24"/>
      <c r="O28" s="24"/>
      <c r="P28" s="24"/>
      <c r="Q28" s="24"/>
      <c r="R28" s="24"/>
      <c r="S28" s="25" t="s">
        <v>111</v>
      </c>
      <c r="T28" s="26" t="s">
        <v>111</v>
      </c>
      <c r="U28" s="26" t="s">
        <v>112</v>
      </c>
    </row>
    <row r="29" spans="1:22" ht="21" customHeight="1" thickBot="1" x14ac:dyDescent="0.25">
      <c r="B29" s="63" t="s">
        <v>113</v>
      </c>
      <c r="C29" s="64"/>
      <c r="D29" s="64"/>
      <c r="E29" s="27"/>
      <c r="F29" s="27"/>
      <c r="G29" s="27"/>
      <c r="H29" s="28"/>
      <c r="I29" s="28"/>
      <c r="J29" s="28"/>
      <c r="K29" s="28"/>
      <c r="L29" s="28"/>
      <c r="M29" s="28"/>
      <c r="N29" s="28"/>
      <c r="O29" s="28"/>
      <c r="P29" s="29"/>
      <c r="Q29" s="29"/>
      <c r="R29" s="29"/>
      <c r="S29" s="50">
        <v>1773.9158379999999</v>
      </c>
      <c r="T29" s="50">
        <v>1385.6901456600001</v>
      </c>
      <c r="U29" s="51">
        <f>+IF(ISERR(T29/S29*100),"N/A",ROUND(T29/S29*100,1))</f>
        <v>78.099999999999994</v>
      </c>
    </row>
    <row r="30" spans="1:22" ht="21" customHeight="1" thickBot="1" x14ac:dyDescent="0.25">
      <c r="B30" s="65" t="s">
        <v>114</v>
      </c>
      <c r="C30" s="66"/>
      <c r="D30" s="66"/>
      <c r="E30" s="30"/>
      <c r="F30" s="30"/>
      <c r="G30" s="30"/>
      <c r="H30" s="31"/>
      <c r="I30" s="31"/>
      <c r="J30" s="31"/>
      <c r="K30" s="31"/>
      <c r="L30" s="31"/>
      <c r="M30" s="31"/>
      <c r="N30" s="31"/>
      <c r="O30" s="31"/>
      <c r="P30" s="32"/>
      <c r="Q30" s="32"/>
      <c r="R30" s="32"/>
      <c r="S30" s="50">
        <v>1385.6901456599999</v>
      </c>
      <c r="T30" s="50">
        <v>1385.6901456600001</v>
      </c>
      <c r="U30" s="51">
        <f>+IF(ISERR(T30/S30*100),"N/A",ROUND(T30/S30*100,1))</f>
        <v>100</v>
      </c>
    </row>
    <row r="31" spans="1:22" ht="14.85" customHeight="1" thickTop="1" thickBot="1" x14ac:dyDescent="0.25">
      <c r="B31" s="4" t="s">
        <v>115</v>
      </c>
      <c r="C31" s="5"/>
      <c r="D31" s="5"/>
      <c r="E31" s="5"/>
      <c r="F31" s="5"/>
      <c r="G31" s="5"/>
      <c r="H31" s="6"/>
      <c r="I31" s="6"/>
      <c r="J31" s="6"/>
      <c r="K31" s="6"/>
      <c r="L31" s="6"/>
      <c r="M31" s="6"/>
      <c r="N31" s="6"/>
      <c r="O31" s="6"/>
      <c r="P31" s="6"/>
      <c r="Q31" s="6"/>
      <c r="R31" s="6"/>
      <c r="S31" s="6"/>
      <c r="T31" s="6"/>
      <c r="U31" s="7"/>
    </row>
    <row r="32" spans="1:22" ht="44.25" customHeight="1" thickTop="1" x14ac:dyDescent="0.2">
      <c r="B32" s="67" t="s">
        <v>116</v>
      </c>
      <c r="C32" s="68"/>
      <c r="D32" s="68"/>
      <c r="E32" s="68"/>
      <c r="F32" s="68"/>
      <c r="G32" s="68"/>
      <c r="H32" s="68"/>
      <c r="I32" s="68"/>
      <c r="J32" s="68"/>
      <c r="K32" s="68"/>
      <c r="L32" s="68"/>
      <c r="M32" s="68"/>
      <c r="N32" s="68"/>
      <c r="O32" s="68"/>
      <c r="P32" s="68"/>
      <c r="Q32" s="68"/>
      <c r="R32" s="68"/>
      <c r="S32" s="68"/>
      <c r="T32" s="68"/>
      <c r="U32" s="69"/>
    </row>
    <row r="33" spans="2:21" ht="63" customHeight="1" x14ac:dyDescent="0.2">
      <c r="B33" s="56" t="s">
        <v>469</v>
      </c>
      <c r="C33" s="57"/>
      <c r="D33" s="57"/>
      <c r="E33" s="57"/>
      <c r="F33" s="57"/>
      <c r="G33" s="57"/>
      <c r="H33" s="57"/>
      <c r="I33" s="57"/>
      <c r="J33" s="57"/>
      <c r="K33" s="57"/>
      <c r="L33" s="57"/>
      <c r="M33" s="57"/>
      <c r="N33" s="57"/>
      <c r="O33" s="57"/>
      <c r="P33" s="57"/>
      <c r="Q33" s="57"/>
      <c r="R33" s="57"/>
      <c r="S33" s="57"/>
      <c r="T33" s="57"/>
      <c r="U33" s="58"/>
    </row>
    <row r="34" spans="2:21" ht="63" customHeight="1" x14ac:dyDescent="0.2">
      <c r="B34" s="56" t="s">
        <v>470</v>
      </c>
      <c r="C34" s="57"/>
      <c r="D34" s="57"/>
      <c r="E34" s="57"/>
      <c r="F34" s="57"/>
      <c r="G34" s="57"/>
      <c r="H34" s="57"/>
      <c r="I34" s="57"/>
      <c r="J34" s="57"/>
      <c r="K34" s="57"/>
      <c r="L34" s="57"/>
      <c r="M34" s="57"/>
      <c r="N34" s="57"/>
      <c r="O34" s="57"/>
      <c r="P34" s="57"/>
      <c r="Q34" s="57"/>
      <c r="R34" s="57"/>
      <c r="S34" s="57"/>
      <c r="T34" s="57"/>
      <c r="U34" s="58"/>
    </row>
    <row r="35" spans="2:21" ht="52.5" customHeight="1" x14ac:dyDescent="0.2">
      <c r="B35" s="56" t="s">
        <v>471</v>
      </c>
      <c r="C35" s="57"/>
      <c r="D35" s="57"/>
      <c r="E35" s="57"/>
      <c r="F35" s="57"/>
      <c r="G35" s="57"/>
      <c r="H35" s="57"/>
      <c r="I35" s="57"/>
      <c r="J35" s="57"/>
      <c r="K35" s="57"/>
      <c r="L35" s="57"/>
      <c r="M35" s="57"/>
      <c r="N35" s="57"/>
      <c r="O35" s="57"/>
      <c r="P35" s="57"/>
      <c r="Q35" s="57"/>
      <c r="R35" s="57"/>
      <c r="S35" s="57"/>
      <c r="T35" s="57"/>
      <c r="U35" s="58"/>
    </row>
    <row r="36" spans="2:21" ht="51.75" customHeight="1" x14ac:dyDescent="0.2">
      <c r="B36" s="56" t="s">
        <v>472</v>
      </c>
      <c r="C36" s="57"/>
      <c r="D36" s="57"/>
      <c r="E36" s="57"/>
      <c r="F36" s="57"/>
      <c r="G36" s="57"/>
      <c r="H36" s="57"/>
      <c r="I36" s="57"/>
      <c r="J36" s="57"/>
      <c r="K36" s="57"/>
      <c r="L36" s="57"/>
      <c r="M36" s="57"/>
      <c r="N36" s="57"/>
      <c r="O36" s="57"/>
      <c r="P36" s="57"/>
      <c r="Q36" s="57"/>
      <c r="R36" s="57"/>
      <c r="S36" s="57"/>
      <c r="T36" s="57"/>
      <c r="U36" s="58"/>
    </row>
    <row r="37" spans="2:21" ht="81" customHeight="1" x14ac:dyDescent="0.2">
      <c r="B37" s="56" t="s">
        <v>473</v>
      </c>
      <c r="C37" s="57"/>
      <c r="D37" s="57"/>
      <c r="E37" s="57"/>
      <c r="F37" s="57"/>
      <c r="G37" s="57"/>
      <c r="H37" s="57"/>
      <c r="I37" s="57"/>
      <c r="J37" s="57"/>
      <c r="K37" s="57"/>
      <c r="L37" s="57"/>
      <c r="M37" s="57"/>
      <c r="N37" s="57"/>
      <c r="O37" s="57"/>
      <c r="P37" s="57"/>
      <c r="Q37" s="57"/>
      <c r="R37" s="57"/>
      <c r="S37" s="57"/>
      <c r="T37" s="57"/>
      <c r="U37" s="58"/>
    </row>
    <row r="38" spans="2:21" ht="78" customHeight="1" x14ac:dyDescent="0.2">
      <c r="B38" s="56" t="s">
        <v>474</v>
      </c>
      <c r="C38" s="57"/>
      <c r="D38" s="57"/>
      <c r="E38" s="57"/>
      <c r="F38" s="57"/>
      <c r="G38" s="57"/>
      <c r="H38" s="57"/>
      <c r="I38" s="57"/>
      <c r="J38" s="57"/>
      <c r="K38" s="57"/>
      <c r="L38" s="57"/>
      <c r="M38" s="57"/>
      <c r="N38" s="57"/>
      <c r="O38" s="57"/>
      <c r="P38" s="57"/>
      <c r="Q38" s="57"/>
      <c r="R38" s="57"/>
      <c r="S38" s="57"/>
      <c r="T38" s="57"/>
      <c r="U38" s="58"/>
    </row>
    <row r="39" spans="2:21" ht="63" customHeight="1" x14ac:dyDescent="0.2">
      <c r="B39" s="56" t="s">
        <v>475</v>
      </c>
      <c r="C39" s="57"/>
      <c r="D39" s="57"/>
      <c r="E39" s="57"/>
      <c r="F39" s="57"/>
      <c r="G39" s="57"/>
      <c r="H39" s="57"/>
      <c r="I39" s="57"/>
      <c r="J39" s="57"/>
      <c r="K39" s="57"/>
      <c r="L39" s="57"/>
      <c r="M39" s="57"/>
      <c r="N39" s="57"/>
      <c r="O39" s="57"/>
      <c r="P39" s="57"/>
      <c r="Q39" s="57"/>
      <c r="R39" s="57"/>
      <c r="S39" s="57"/>
      <c r="T39" s="57"/>
      <c r="U39" s="58"/>
    </row>
    <row r="40" spans="2:21" ht="63" customHeight="1" x14ac:dyDescent="0.2">
      <c r="B40" s="56" t="s">
        <v>476</v>
      </c>
      <c r="C40" s="57"/>
      <c r="D40" s="57"/>
      <c r="E40" s="57"/>
      <c r="F40" s="57"/>
      <c r="G40" s="57"/>
      <c r="H40" s="57"/>
      <c r="I40" s="57"/>
      <c r="J40" s="57"/>
      <c r="K40" s="57"/>
      <c r="L40" s="57"/>
      <c r="M40" s="57"/>
      <c r="N40" s="57"/>
      <c r="O40" s="57"/>
      <c r="P40" s="57"/>
      <c r="Q40" s="57"/>
      <c r="R40" s="57"/>
      <c r="S40" s="57"/>
      <c r="T40" s="57"/>
      <c r="U40" s="58"/>
    </row>
    <row r="41" spans="2:21" ht="97.5" customHeight="1" x14ac:dyDescent="0.2">
      <c r="B41" s="56" t="s">
        <v>443</v>
      </c>
      <c r="C41" s="57"/>
      <c r="D41" s="57"/>
      <c r="E41" s="57"/>
      <c r="F41" s="57"/>
      <c r="G41" s="57"/>
      <c r="H41" s="57"/>
      <c r="I41" s="57"/>
      <c r="J41" s="57"/>
      <c r="K41" s="57"/>
      <c r="L41" s="57"/>
      <c r="M41" s="57"/>
      <c r="N41" s="57"/>
      <c r="O41" s="57"/>
      <c r="P41" s="57"/>
      <c r="Q41" s="57"/>
      <c r="R41" s="57"/>
      <c r="S41" s="57"/>
      <c r="T41" s="57"/>
      <c r="U41" s="58"/>
    </row>
    <row r="42" spans="2:21" ht="74.25" customHeight="1" x14ac:dyDescent="0.2">
      <c r="B42" s="56" t="s">
        <v>444</v>
      </c>
      <c r="C42" s="57"/>
      <c r="D42" s="57"/>
      <c r="E42" s="57"/>
      <c r="F42" s="57"/>
      <c r="G42" s="57"/>
      <c r="H42" s="57"/>
      <c r="I42" s="57"/>
      <c r="J42" s="57"/>
      <c r="K42" s="57"/>
      <c r="L42" s="57"/>
      <c r="M42" s="57"/>
      <c r="N42" s="57"/>
      <c r="O42" s="57"/>
      <c r="P42" s="57"/>
      <c r="Q42" s="57"/>
      <c r="R42" s="57"/>
      <c r="S42" s="57"/>
      <c r="T42" s="57"/>
      <c r="U42" s="58"/>
    </row>
    <row r="43" spans="2:21" ht="78" customHeight="1" x14ac:dyDescent="0.2">
      <c r="B43" s="56" t="s">
        <v>445</v>
      </c>
      <c r="C43" s="57"/>
      <c r="D43" s="57"/>
      <c r="E43" s="57"/>
      <c r="F43" s="57"/>
      <c r="G43" s="57"/>
      <c r="H43" s="57"/>
      <c r="I43" s="57"/>
      <c r="J43" s="57"/>
      <c r="K43" s="57"/>
      <c r="L43" s="57"/>
      <c r="M43" s="57"/>
      <c r="N43" s="57"/>
      <c r="O43" s="57"/>
      <c r="P43" s="57"/>
      <c r="Q43" s="57"/>
      <c r="R43" s="57"/>
      <c r="S43" s="57"/>
      <c r="T43" s="57"/>
      <c r="U43" s="58"/>
    </row>
    <row r="44" spans="2:21" ht="90" customHeight="1" x14ac:dyDescent="0.2">
      <c r="B44" s="56" t="s">
        <v>446</v>
      </c>
      <c r="C44" s="57"/>
      <c r="D44" s="57"/>
      <c r="E44" s="57"/>
      <c r="F44" s="57"/>
      <c r="G44" s="57"/>
      <c r="H44" s="57"/>
      <c r="I44" s="57"/>
      <c r="J44" s="57"/>
      <c r="K44" s="57"/>
      <c r="L44" s="57"/>
      <c r="M44" s="57"/>
      <c r="N44" s="57"/>
      <c r="O44" s="57"/>
      <c r="P44" s="57"/>
      <c r="Q44" s="57"/>
      <c r="R44" s="57"/>
      <c r="S44" s="57"/>
      <c r="T44" s="57"/>
      <c r="U44" s="58"/>
    </row>
    <row r="45" spans="2:21" ht="75" customHeight="1" x14ac:dyDescent="0.2">
      <c r="B45" s="56" t="s">
        <v>447</v>
      </c>
      <c r="C45" s="57"/>
      <c r="D45" s="57"/>
      <c r="E45" s="57"/>
      <c r="F45" s="57"/>
      <c r="G45" s="57"/>
      <c r="H45" s="57"/>
      <c r="I45" s="57"/>
      <c r="J45" s="57"/>
      <c r="K45" s="57"/>
      <c r="L45" s="57"/>
      <c r="M45" s="57"/>
      <c r="N45" s="57"/>
      <c r="O45" s="57"/>
      <c r="P45" s="57"/>
      <c r="Q45" s="57"/>
      <c r="R45" s="57"/>
      <c r="S45" s="57"/>
      <c r="T45" s="57"/>
      <c r="U45" s="58"/>
    </row>
    <row r="46" spans="2:21" ht="74.25" customHeight="1" x14ac:dyDescent="0.2">
      <c r="B46" s="56" t="s">
        <v>448</v>
      </c>
      <c r="C46" s="57"/>
      <c r="D46" s="57"/>
      <c r="E46" s="57"/>
      <c r="F46" s="57"/>
      <c r="G46" s="57"/>
      <c r="H46" s="57"/>
      <c r="I46" s="57"/>
      <c r="J46" s="57"/>
      <c r="K46" s="57"/>
      <c r="L46" s="57"/>
      <c r="M46" s="57"/>
      <c r="N46" s="57"/>
      <c r="O46" s="57"/>
      <c r="P46" s="57"/>
      <c r="Q46" s="57"/>
      <c r="R46" s="57"/>
      <c r="S46" s="57"/>
      <c r="T46" s="57"/>
      <c r="U46" s="58"/>
    </row>
    <row r="47" spans="2:21" ht="72.75" customHeight="1" thickBot="1" x14ac:dyDescent="0.25">
      <c r="B47" s="59" t="s">
        <v>449</v>
      </c>
      <c r="C47" s="60"/>
      <c r="D47" s="60"/>
      <c r="E47" s="60"/>
      <c r="F47" s="60"/>
      <c r="G47" s="60"/>
      <c r="H47" s="60"/>
      <c r="I47" s="60"/>
      <c r="J47" s="60"/>
      <c r="K47" s="60"/>
      <c r="L47" s="60"/>
      <c r="M47" s="60"/>
      <c r="N47" s="60"/>
      <c r="O47" s="60"/>
      <c r="P47" s="60"/>
      <c r="Q47" s="60"/>
      <c r="R47" s="60"/>
      <c r="S47" s="60"/>
      <c r="T47" s="60"/>
      <c r="U47" s="61"/>
    </row>
  </sheetData>
  <mergeCells count="84">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C22:H22"/>
    <mergeCell ref="I22:K22"/>
    <mergeCell ref="L22:O22"/>
    <mergeCell ref="C23:H23"/>
    <mergeCell ref="I23:K23"/>
    <mergeCell ref="L23:O23"/>
    <mergeCell ref="B35:U35"/>
    <mergeCell ref="C24:H24"/>
    <mergeCell ref="I24:K24"/>
    <mergeCell ref="L24:O24"/>
    <mergeCell ref="C25:H25"/>
    <mergeCell ref="I25:K25"/>
    <mergeCell ref="L25:O25"/>
    <mergeCell ref="B29:D29"/>
    <mergeCell ref="B30:D30"/>
    <mergeCell ref="B32:U32"/>
    <mergeCell ref="B33:U33"/>
    <mergeCell ref="B34:U34"/>
    <mergeCell ref="B47:U47"/>
    <mergeCell ref="B36:U36"/>
    <mergeCell ref="B37:U37"/>
    <mergeCell ref="B38:U38"/>
    <mergeCell ref="B39:U39"/>
    <mergeCell ref="B40:U40"/>
    <mergeCell ref="B41:U41"/>
    <mergeCell ref="B42:U42"/>
    <mergeCell ref="B43:U43"/>
    <mergeCell ref="B44:U44"/>
    <mergeCell ref="B45:U45"/>
    <mergeCell ref="B46:U46"/>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5"/>
  <sheetViews>
    <sheetView topLeftCell="J13" zoomScale="80" zoomScaleNormal="80" zoomScaleSheetLayoutView="80" workbookViewId="0">
      <selection activeCell="S34" sqref="S34:U35"/>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 style="1" customWidth="1"/>
    <col min="19" max="19" width="13" style="1" customWidth="1"/>
    <col min="20" max="20" width="10.75" style="1" customWidth="1"/>
    <col min="21" max="21" width="11.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2" t="s">
        <v>0</v>
      </c>
      <c r="C1" s="52"/>
      <c r="D1" s="52"/>
      <c r="E1" s="52"/>
      <c r="F1" s="52"/>
      <c r="G1" s="52"/>
      <c r="H1" s="52"/>
      <c r="I1" s="52"/>
      <c r="J1" s="52"/>
      <c r="K1" s="52"/>
      <c r="L1" s="52"/>
      <c r="M1" s="3" t="s">
        <v>1</v>
      </c>
    </row>
    <row r="2" spans="1:22" ht="13.5" customHeight="1" thickBot="1" x14ac:dyDescent="0.25"/>
    <row r="3" spans="1:22" ht="20.25" customHeight="1" thickTop="1" thickBot="1" x14ac:dyDescent="0.25">
      <c r="B3" s="4" t="s">
        <v>5</v>
      </c>
      <c r="C3" s="5"/>
      <c r="D3" s="5"/>
      <c r="E3" s="5"/>
      <c r="F3" s="5"/>
      <c r="G3" s="5"/>
      <c r="H3" s="6"/>
      <c r="I3" s="6"/>
      <c r="J3" s="6"/>
      <c r="K3" s="6"/>
      <c r="L3" s="6"/>
      <c r="M3" s="6"/>
      <c r="N3" s="6"/>
      <c r="O3" s="6"/>
      <c r="P3" s="6"/>
      <c r="Q3" s="6"/>
      <c r="R3" s="6"/>
      <c r="S3" s="6"/>
      <c r="T3" s="6"/>
      <c r="U3" s="7"/>
    </row>
    <row r="4" spans="1:22" ht="51.75" customHeight="1" thickTop="1" x14ac:dyDescent="0.2">
      <c r="B4" s="39" t="s">
        <v>6</v>
      </c>
      <c r="C4" s="40" t="s">
        <v>450</v>
      </c>
      <c r="D4" s="90" t="s">
        <v>451</v>
      </c>
      <c r="E4" s="90"/>
      <c r="F4" s="90"/>
      <c r="G4" s="90"/>
      <c r="H4" s="90"/>
      <c r="I4" s="41"/>
      <c r="J4" s="42" t="s">
        <v>9</v>
      </c>
      <c r="K4" s="43" t="s">
        <v>10</v>
      </c>
      <c r="L4" s="91" t="s">
        <v>11</v>
      </c>
      <c r="M4" s="91"/>
      <c r="N4" s="91"/>
      <c r="O4" s="91"/>
      <c r="P4" s="42" t="s">
        <v>12</v>
      </c>
      <c r="Q4" s="91" t="s">
        <v>452</v>
      </c>
      <c r="R4" s="91"/>
      <c r="S4" s="42" t="s">
        <v>14</v>
      </c>
      <c r="T4" s="91"/>
      <c r="U4" s="92"/>
    </row>
    <row r="5" spans="1:22" ht="15.75" customHeight="1" x14ac:dyDescent="0.2">
      <c r="B5" s="93" t="s">
        <v>15</v>
      </c>
      <c r="C5" s="94"/>
      <c r="D5" s="94"/>
      <c r="E5" s="94"/>
      <c r="F5" s="94"/>
      <c r="G5" s="94"/>
      <c r="H5" s="94"/>
      <c r="I5" s="94"/>
      <c r="J5" s="94"/>
      <c r="K5" s="94"/>
      <c r="L5" s="94"/>
      <c r="M5" s="94"/>
      <c r="N5" s="94"/>
      <c r="O5" s="94"/>
      <c r="P5" s="94"/>
      <c r="Q5" s="94"/>
      <c r="R5" s="94"/>
      <c r="S5" s="94"/>
      <c r="T5" s="94"/>
      <c r="U5" s="95"/>
    </row>
    <row r="6" spans="1:22" ht="66" customHeight="1" thickBot="1" x14ac:dyDescent="0.25">
      <c r="B6" s="44" t="s">
        <v>16</v>
      </c>
      <c r="C6" s="98" t="s">
        <v>17</v>
      </c>
      <c r="D6" s="98"/>
      <c r="E6" s="98"/>
      <c r="F6" s="98"/>
      <c r="G6" s="98"/>
      <c r="H6" s="45"/>
      <c r="I6" s="45"/>
      <c r="J6" s="45" t="s">
        <v>18</v>
      </c>
      <c r="K6" s="98" t="s">
        <v>19</v>
      </c>
      <c r="L6" s="98"/>
      <c r="M6" s="98"/>
      <c r="N6" s="46"/>
      <c r="O6" s="45" t="s">
        <v>20</v>
      </c>
      <c r="P6" s="98" t="s">
        <v>21</v>
      </c>
      <c r="Q6" s="98"/>
      <c r="R6" s="47"/>
      <c r="S6" s="45" t="s">
        <v>22</v>
      </c>
      <c r="T6" s="98" t="s">
        <v>23</v>
      </c>
      <c r="U6" s="99"/>
    </row>
    <row r="7" spans="1:22" ht="22.5" customHeight="1" thickTop="1" thickBot="1" x14ac:dyDescent="0.25">
      <c r="B7" s="4" t="s">
        <v>24</v>
      </c>
      <c r="C7" s="5"/>
      <c r="D7" s="5"/>
      <c r="E7" s="5"/>
      <c r="F7" s="5"/>
      <c r="G7" s="5"/>
      <c r="H7" s="6"/>
      <c r="I7" s="6"/>
      <c r="J7" s="6"/>
      <c r="K7" s="6"/>
      <c r="L7" s="6"/>
      <c r="M7" s="6"/>
      <c r="N7" s="6"/>
      <c r="O7" s="6"/>
      <c r="P7" s="6"/>
      <c r="Q7" s="6"/>
      <c r="R7" s="6"/>
      <c r="S7" s="6"/>
      <c r="T7" s="6"/>
      <c r="U7" s="7"/>
    </row>
    <row r="8" spans="1:22" ht="16.5" customHeight="1" thickTop="1" x14ac:dyDescent="0.2">
      <c r="B8" s="75" t="s">
        <v>25</v>
      </c>
      <c r="C8" s="71" t="s">
        <v>26</v>
      </c>
      <c r="D8" s="71"/>
      <c r="E8" s="71"/>
      <c r="F8" s="71"/>
      <c r="G8" s="71"/>
      <c r="H8" s="78"/>
      <c r="I8" s="83" t="s">
        <v>27</v>
      </c>
      <c r="J8" s="84"/>
      <c r="K8" s="84"/>
      <c r="L8" s="84"/>
      <c r="M8" s="84"/>
      <c r="N8" s="84"/>
      <c r="O8" s="84"/>
      <c r="P8" s="84"/>
      <c r="Q8" s="84"/>
      <c r="R8" s="84"/>
      <c r="S8" s="85"/>
      <c r="T8" s="86" t="s">
        <v>28</v>
      </c>
      <c r="U8" s="87"/>
    </row>
    <row r="9" spans="1:22" ht="19.5" customHeight="1" x14ac:dyDescent="0.2">
      <c r="B9" s="76"/>
      <c r="C9" s="79"/>
      <c r="D9" s="79"/>
      <c r="E9" s="79"/>
      <c r="F9" s="79"/>
      <c r="G9" s="79"/>
      <c r="H9" s="80"/>
      <c r="I9" s="88" t="s">
        <v>29</v>
      </c>
      <c r="J9" s="71"/>
      <c r="K9" s="71"/>
      <c r="L9" s="71" t="s">
        <v>30</v>
      </c>
      <c r="M9" s="71"/>
      <c r="N9" s="71"/>
      <c r="O9" s="71"/>
      <c r="P9" s="71" t="s">
        <v>31</v>
      </c>
      <c r="Q9" s="71" t="s">
        <v>32</v>
      </c>
      <c r="R9" s="73" t="s">
        <v>33</v>
      </c>
      <c r="S9" s="74"/>
      <c r="T9" s="71" t="s">
        <v>34</v>
      </c>
      <c r="U9" s="96" t="s">
        <v>35</v>
      </c>
    </row>
    <row r="10" spans="1:22" ht="43.5" customHeight="1" thickBot="1" x14ac:dyDescent="0.25">
      <c r="B10" s="77"/>
      <c r="C10" s="81"/>
      <c r="D10" s="81"/>
      <c r="E10" s="81"/>
      <c r="F10" s="81"/>
      <c r="G10" s="81"/>
      <c r="H10" s="82"/>
      <c r="I10" s="89"/>
      <c r="J10" s="72"/>
      <c r="K10" s="72"/>
      <c r="L10" s="72"/>
      <c r="M10" s="72"/>
      <c r="N10" s="72"/>
      <c r="O10" s="72"/>
      <c r="P10" s="72"/>
      <c r="Q10" s="72"/>
      <c r="R10" s="9" t="s">
        <v>36</v>
      </c>
      <c r="S10" s="10" t="s">
        <v>37</v>
      </c>
      <c r="T10" s="72"/>
      <c r="U10" s="97"/>
    </row>
    <row r="11" spans="1:22" ht="93" customHeight="1" thickTop="1" thickBot="1" x14ac:dyDescent="0.25">
      <c r="A11" s="11"/>
      <c r="B11" s="12" t="s">
        <v>38</v>
      </c>
      <c r="C11" s="70" t="s">
        <v>453</v>
      </c>
      <c r="D11" s="70"/>
      <c r="E11" s="70"/>
      <c r="F11" s="70"/>
      <c r="G11" s="70"/>
      <c r="H11" s="70"/>
      <c r="I11" s="70" t="s">
        <v>454</v>
      </c>
      <c r="J11" s="70"/>
      <c r="K11" s="70"/>
      <c r="L11" s="70" t="s">
        <v>455</v>
      </c>
      <c r="M11" s="70"/>
      <c r="N11" s="70"/>
      <c r="O11" s="70"/>
      <c r="P11" s="13" t="s">
        <v>49</v>
      </c>
      <c r="Q11" s="13" t="s">
        <v>456</v>
      </c>
      <c r="R11" s="33">
        <v>17</v>
      </c>
      <c r="S11" s="33">
        <v>20</v>
      </c>
      <c r="T11" s="33" t="s">
        <v>44</v>
      </c>
      <c r="U11" s="34" t="str">
        <f>"N/A"</f>
        <v>N/A</v>
      </c>
    </row>
    <row r="12" spans="1:22" ht="92.25" customHeight="1" thickTop="1" thickBot="1" x14ac:dyDescent="0.25">
      <c r="A12" s="11"/>
      <c r="B12" s="12" t="s">
        <v>45</v>
      </c>
      <c r="C12" s="70" t="s">
        <v>457</v>
      </c>
      <c r="D12" s="70"/>
      <c r="E12" s="70"/>
      <c r="F12" s="70"/>
      <c r="G12" s="70"/>
      <c r="H12" s="70"/>
      <c r="I12" s="70" t="s">
        <v>458</v>
      </c>
      <c r="J12" s="70"/>
      <c r="K12" s="70"/>
      <c r="L12" s="70" t="s">
        <v>459</v>
      </c>
      <c r="M12" s="70"/>
      <c r="N12" s="70"/>
      <c r="O12" s="70"/>
      <c r="P12" s="13" t="s">
        <v>49</v>
      </c>
      <c r="Q12" s="13" t="s">
        <v>456</v>
      </c>
      <c r="R12" s="33">
        <v>8.33</v>
      </c>
      <c r="S12" s="33">
        <v>8.33</v>
      </c>
      <c r="T12" s="33" t="s">
        <v>44</v>
      </c>
      <c r="U12" s="34" t="str">
        <f>"N/A"</f>
        <v>N/A</v>
      </c>
    </row>
    <row r="13" spans="1:22" ht="93.75" customHeight="1" thickTop="1" thickBot="1" x14ac:dyDescent="0.25">
      <c r="A13" s="11"/>
      <c r="B13" s="12" t="s">
        <v>54</v>
      </c>
      <c r="C13" s="70" t="s">
        <v>460</v>
      </c>
      <c r="D13" s="70"/>
      <c r="E13" s="70"/>
      <c r="F13" s="70"/>
      <c r="G13" s="70"/>
      <c r="H13" s="70"/>
      <c r="I13" s="70" t="s">
        <v>461</v>
      </c>
      <c r="J13" s="70"/>
      <c r="K13" s="70"/>
      <c r="L13" s="70" t="s">
        <v>462</v>
      </c>
      <c r="M13" s="70"/>
      <c r="N13" s="70"/>
      <c r="O13" s="70"/>
      <c r="P13" s="13" t="s">
        <v>49</v>
      </c>
      <c r="Q13" s="13" t="s">
        <v>50</v>
      </c>
      <c r="R13" s="33">
        <v>7.64</v>
      </c>
      <c r="S13" s="33">
        <v>7.11</v>
      </c>
      <c r="T13" s="33">
        <v>8.34</v>
      </c>
      <c r="U13" s="34">
        <f>117.3</f>
        <v>117.3</v>
      </c>
    </row>
    <row r="14" spans="1:22" ht="98.25" customHeight="1" thickTop="1" x14ac:dyDescent="0.2">
      <c r="A14" s="11"/>
      <c r="B14" s="12" t="s">
        <v>76</v>
      </c>
      <c r="C14" s="70" t="s">
        <v>463</v>
      </c>
      <c r="D14" s="70"/>
      <c r="E14" s="70"/>
      <c r="F14" s="70"/>
      <c r="G14" s="70"/>
      <c r="H14" s="70"/>
      <c r="I14" s="70" t="s">
        <v>464</v>
      </c>
      <c r="J14" s="70"/>
      <c r="K14" s="70"/>
      <c r="L14" s="70" t="s">
        <v>465</v>
      </c>
      <c r="M14" s="70"/>
      <c r="N14" s="70"/>
      <c r="O14" s="70"/>
      <c r="P14" s="13" t="s">
        <v>49</v>
      </c>
      <c r="Q14" s="13" t="s">
        <v>368</v>
      </c>
      <c r="R14" s="33" t="s">
        <v>44</v>
      </c>
      <c r="S14" s="33">
        <v>91</v>
      </c>
      <c r="T14" s="33">
        <v>97.13</v>
      </c>
      <c r="U14" s="34">
        <f>106.74</f>
        <v>106.74</v>
      </c>
    </row>
    <row r="15" spans="1:22" ht="88.5" customHeight="1" thickBot="1" x14ac:dyDescent="0.25">
      <c r="A15" s="11"/>
      <c r="B15" s="14" t="s">
        <v>51</v>
      </c>
      <c r="C15" s="62" t="s">
        <v>466</v>
      </c>
      <c r="D15" s="62"/>
      <c r="E15" s="62"/>
      <c r="F15" s="62"/>
      <c r="G15" s="62"/>
      <c r="H15" s="62"/>
      <c r="I15" s="62" t="s">
        <v>467</v>
      </c>
      <c r="J15" s="62"/>
      <c r="K15" s="62"/>
      <c r="L15" s="62" t="s">
        <v>468</v>
      </c>
      <c r="M15" s="62"/>
      <c r="N15" s="62"/>
      <c r="O15" s="62"/>
      <c r="P15" s="15" t="s">
        <v>49</v>
      </c>
      <c r="Q15" s="15" t="s">
        <v>290</v>
      </c>
      <c r="R15" s="35">
        <v>49.58</v>
      </c>
      <c r="S15" s="35">
        <v>50</v>
      </c>
      <c r="T15" s="35">
        <v>46.75</v>
      </c>
      <c r="U15" s="36">
        <f>93.5</f>
        <v>93.5</v>
      </c>
    </row>
    <row r="16" spans="1:22" ht="14.25" customHeight="1" thickTop="1" thickBot="1" x14ac:dyDescent="0.25">
      <c r="B16" s="4" t="s">
        <v>108</v>
      </c>
      <c r="C16" s="5"/>
      <c r="D16" s="5"/>
      <c r="E16" s="5"/>
      <c r="F16" s="5"/>
      <c r="G16" s="5"/>
      <c r="H16" s="6"/>
      <c r="I16" s="6"/>
      <c r="J16" s="6"/>
      <c r="K16" s="6"/>
      <c r="L16" s="6"/>
      <c r="M16" s="6"/>
      <c r="N16" s="6"/>
      <c r="O16" s="6"/>
      <c r="P16" s="6"/>
      <c r="Q16" s="6"/>
      <c r="R16" s="6"/>
      <c r="S16" s="6"/>
      <c r="T16" s="6"/>
      <c r="U16" s="7"/>
      <c r="V16" s="16"/>
    </row>
    <row r="17" spans="2:21" ht="26.25" customHeight="1" thickTop="1" x14ac:dyDescent="0.2">
      <c r="B17" s="17"/>
      <c r="C17" s="18"/>
      <c r="D17" s="18"/>
      <c r="E17" s="18"/>
      <c r="F17" s="18"/>
      <c r="G17" s="18"/>
      <c r="H17" s="19"/>
      <c r="I17" s="19"/>
      <c r="J17" s="19"/>
      <c r="K17" s="19"/>
      <c r="L17" s="19"/>
      <c r="M17" s="19"/>
      <c r="N17" s="19"/>
      <c r="O17" s="19"/>
      <c r="P17" s="19"/>
      <c r="Q17" s="19"/>
      <c r="R17" s="20"/>
      <c r="S17" s="21" t="s">
        <v>33</v>
      </c>
      <c r="T17" s="21" t="s">
        <v>109</v>
      </c>
      <c r="U17" s="8" t="s">
        <v>110</v>
      </c>
    </row>
    <row r="18" spans="2:21" ht="38.25" customHeight="1" thickBot="1" x14ac:dyDescent="0.25">
      <c r="B18" s="22"/>
      <c r="C18" s="23"/>
      <c r="D18" s="23"/>
      <c r="E18" s="23"/>
      <c r="F18" s="23"/>
      <c r="G18" s="23"/>
      <c r="H18" s="24"/>
      <c r="I18" s="24"/>
      <c r="J18" s="24"/>
      <c r="K18" s="24"/>
      <c r="L18" s="24"/>
      <c r="M18" s="24"/>
      <c r="N18" s="24"/>
      <c r="O18" s="24"/>
      <c r="P18" s="24"/>
      <c r="Q18" s="24"/>
      <c r="R18" s="24"/>
      <c r="S18" s="25" t="s">
        <v>111</v>
      </c>
      <c r="T18" s="26" t="s">
        <v>111</v>
      </c>
      <c r="U18" s="26" t="s">
        <v>112</v>
      </c>
    </row>
    <row r="19" spans="2:21" ht="25.5" customHeight="1" thickBot="1" x14ac:dyDescent="0.25">
      <c r="B19" s="63" t="s">
        <v>113</v>
      </c>
      <c r="C19" s="64"/>
      <c r="D19" s="64"/>
      <c r="E19" s="27"/>
      <c r="F19" s="27"/>
      <c r="G19" s="27"/>
      <c r="H19" s="28"/>
      <c r="I19" s="28"/>
      <c r="J19" s="28"/>
      <c r="K19" s="28"/>
      <c r="L19" s="28"/>
      <c r="M19" s="28"/>
      <c r="N19" s="28"/>
      <c r="O19" s="28"/>
      <c r="P19" s="29"/>
      <c r="Q19" s="29"/>
      <c r="R19" s="29"/>
      <c r="S19" s="50">
        <v>1600</v>
      </c>
      <c r="T19" s="50">
        <v>1531.1606656200001</v>
      </c>
      <c r="U19" s="51">
        <f>+IF(ISERR(T19/S19*100),"N/A",ROUND(T19/S19*100,1))</f>
        <v>95.7</v>
      </c>
    </row>
    <row r="20" spans="2:21" ht="25.5" customHeight="1" thickBot="1" x14ac:dyDescent="0.25">
      <c r="B20" s="65" t="s">
        <v>114</v>
      </c>
      <c r="C20" s="66"/>
      <c r="D20" s="66"/>
      <c r="E20" s="30"/>
      <c r="F20" s="30"/>
      <c r="G20" s="30"/>
      <c r="H20" s="31"/>
      <c r="I20" s="31"/>
      <c r="J20" s="31"/>
      <c r="K20" s="31"/>
      <c r="L20" s="31"/>
      <c r="M20" s="31"/>
      <c r="N20" s="31"/>
      <c r="O20" s="31"/>
      <c r="P20" s="32"/>
      <c r="Q20" s="32"/>
      <c r="R20" s="32"/>
      <c r="S20" s="50">
        <v>1531.1606656199997</v>
      </c>
      <c r="T20" s="50">
        <v>1531.1606656200001</v>
      </c>
      <c r="U20" s="51">
        <f>+IF(ISERR(T20/S20*100),"N/A",ROUND(T20/S20*100,1))</f>
        <v>100</v>
      </c>
    </row>
    <row r="21" spans="2:21" ht="14.85" customHeight="1" thickTop="1" thickBot="1" x14ac:dyDescent="0.25">
      <c r="B21" s="4" t="s">
        <v>115</v>
      </c>
      <c r="C21" s="5"/>
      <c r="D21" s="5"/>
      <c r="E21" s="5"/>
      <c r="F21" s="5"/>
      <c r="G21" s="5"/>
      <c r="H21" s="6"/>
      <c r="I21" s="6"/>
      <c r="J21" s="6"/>
      <c r="K21" s="6"/>
      <c r="L21" s="6"/>
      <c r="M21" s="6"/>
      <c r="N21" s="6"/>
      <c r="O21" s="6"/>
      <c r="P21" s="6"/>
      <c r="Q21" s="6"/>
      <c r="R21" s="6"/>
      <c r="S21" s="6"/>
      <c r="T21" s="6"/>
      <c r="U21" s="7"/>
    </row>
    <row r="22" spans="2:21" ht="44.25" customHeight="1" thickTop="1" x14ac:dyDescent="0.2">
      <c r="B22" s="67" t="s">
        <v>116</v>
      </c>
      <c r="C22" s="68"/>
      <c r="D22" s="68"/>
      <c r="E22" s="68"/>
      <c r="F22" s="68"/>
      <c r="G22" s="68"/>
      <c r="H22" s="68"/>
      <c r="I22" s="68"/>
      <c r="J22" s="68"/>
      <c r="K22" s="68"/>
      <c r="L22" s="68"/>
      <c r="M22" s="68"/>
      <c r="N22" s="68"/>
      <c r="O22" s="68"/>
      <c r="P22" s="68"/>
      <c r="Q22" s="68"/>
      <c r="R22" s="68"/>
      <c r="S22" s="68"/>
      <c r="T22" s="68"/>
      <c r="U22" s="69"/>
    </row>
    <row r="23" spans="2:21" ht="111" customHeight="1" x14ac:dyDescent="0.2">
      <c r="B23" s="56" t="s">
        <v>478</v>
      </c>
      <c r="C23" s="57"/>
      <c r="D23" s="57"/>
      <c r="E23" s="57"/>
      <c r="F23" s="57"/>
      <c r="G23" s="57"/>
      <c r="H23" s="57"/>
      <c r="I23" s="57"/>
      <c r="J23" s="57"/>
      <c r="K23" s="57"/>
      <c r="L23" s="57"/>
      <c r="M23" s="57"/>
      <c r="N23" s="57"/>
      <c r="O23" s="57"/>
      <c r="P23" s="57"/>
      <c r="Q23" s="57"/>
      <c r="R23" s="57"/>
      <c r="S23" s="57"/>
      <c r="T23" s="57"/>
      <c r="U23" s="58"/>
    </row>
    <row r="24" spans="2:21" ht="75.75" customHeight="1" x14ac:dyDescent="0.2">
      <c r="B24" s="56" t="s">
        <v>477</v>
      </c>
      <c r="C24" s="57"/>
      <c r="D24" s="57"/>
      <c r="E24" s="57"/>
      <c r="F24" s="57"/>
      <c r="G24" s="57"/>
      <c r="H24" s="57"/>
      <c r="I24" s="57"/>
      <c r="J24" s="57"/>
      <c r="K24" s="57"/>
      <c r="L24" s="57"/>
      <c r="M24" s="57"/>
      <c r="N24" s="57"/>
      <c r="O24" s="57"/>
      <c r="P24" s="57"/>
      <c r="Q24" s="57"/>
      <c r="R24" s="57"/>
      <c r="S24" s="57"/>
      <c r="T24" s="57"/>
      <c r="U24" s="58"/>
    </row>
    <row r="25" spans="2:21" ht="68.25" customHeight="1" thickBot="1" x14ac:dyDescent="0.25">
      <c r="B25" s="59" t="s">
        <v>479</v>
      </c>
      <c r="C25" s="60"/>
      <c r="D25" s="60"/>
      <c r="E25" s="60"/>
      <c r="F25" s="60"/>
      <c r="G25" s="60"/>
      <c r="H25" s="60"/>
      <c r="I25" s="60"/>
      <c r="J25" s="60"/>
      <c r="K25" s="60"/>
      <c r="L25" s="60"/>
      <c r="M25" s="60"/>
      <c r="N25" s="60"/>
      <c r="O25" s="60"/>
      <c r="P25" s="60"/>
      <c r="Q25" s="60"/>
      <c r="R25" s="60"/>
      <c r="S25" s="60"/>
      <c r="T25" s="60"/>
      <c r="U25" s="61"/>
    </row>
  </sheetData>
  <mergeCells count="42">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B24:U24"/>
    <mergeCell ref="B25:U25"/>
    <mergeCell ref="B19:D19"/>
    <mergeCell ref="B20:D20"/>
    <mergeCell ref="B22:U22"/>
    <mergeCell ref="B23:U23"/>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14</vt:i4>
      </vt:variant>
    </vt:vector>
  </HeadingPairs>
  <TitlesOfParts>
    <vt:vector size="21" baseType="lpstr">
      <vt:lpstr>Portada</vt:lpstr>
      <vt:lpstr>8 S231</vt:lpstr>
      <vt:lpstr>8 S232</vt:lpstr>
      <vt:lpstr>8 S233</vt:lpstr>
      <vt:lpstr>8 S234</vt:lpstr>
      <vt:lpstr>8 U002</vt:lpstr>
      <vt:lpstr>8 U016</vt:lpstr>
      <vt:lpstr>'8 S231'!Área_de_impresión</vt:lpstr>
      <vt:lpstr>'8 S232'!Área_de_impresión</vt:lpstr>
      <vt:lpstr>'8 S233'!Área_de_impresión</vt:lpstr>
      <vt:lpstr>'8 S234'!Área_de_impresión</vt:lpstr>
      <vt:lpstr>'8 U002'!Área_de_impresión</vt:lpstr>
      <vt:lpstr>'8 U016'!Área_de_impresión</vt:lpstr>
      <vt:lpstr>Portada!Área_de_impresión</vt:lpstr>
      <vt:lpstr>'8 S231'!Títulos_a_imprimir</vt:lpstr>
      <vt:lpstr>'8 S232'!Títulos_a_imprimir</vt:lpstr>
      <vt:lpstr>'8 S233'!Títulos_a_imprimir</vt:lpstr>
      <vt:lpstr>'8 S234'!Títulos_a_imprimir</vt:lpstr>
      <vt:lpstr>'8 U002'!Títulos_a_imprimir</vt:lpstr>
      <vt:lpstr>'8 U016'!Títulos_a_imprimir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Pablo Emilio Ballesteros Cesar</cp:lastModifiedBy>
  <cp:lastPrinted>2009-03-26T01:46:20Z</cp:lastPrinted>
  <dcterms:created xsi:type="dcterms:W3CDTF">2009-03-25T01:44:41Z</dcterms:created>
  <dcterms:modified xsi:type="dcterms:W3CDTF">2014-04-03T19:55:58Z</dcterms:modified>
</cp:coreProperties>
</file>