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585" yWindow="45" windowWidth="12630" windowHeight="12345" tabRatio="726" firstSheet="16" activeTab="31"/>
  </bookViews>
  <sheets>
    <sheet name="Portada" sheetId="1" r:id="rId1"/>
    <sheet name="11 E007" sheetId="2" r:id="rId2"/>
    <sheet name="11 E008" sheetId="3" r:id="rId3"/>
    <sheet name="11 E010" sheetId="4" r:id="rId4"/>
    <sheet name="11 E011" sheetId="5" r:id="rId5"/>
    <sheet name="11 E012" sheetId="6" r:id="rId6"/>
    <sheet name="11 E021" sheetId="7" r:id="rId7"/>
    <sheet name="11 E062" sheetId="8" r:id="rId8"/>
    <sheet name="11 E063" sheetId="9" r:id="rId9"/>
    <sheet name="11 E064" sheetId="10" r:id="rId10"/>
    <sheet name="11 S027" sheetId="11" r:id="rId11"/>
    <sheet name="11 S028" sheetId="12" r:id="rId12"/>
    <sheet name="11 S029" sheetId="13" r:id="rId13"/>
    <sheet name="11 S035" sheetId="14" r:id="rId14"/>
    <sheet name="11 S108" sheetId="15" r:id="rId15"/>
    <sheet name="11 S119" sheetId="16" r:id="rId16"/>
    <sheet name="11 S127" sheetId="17" r:id="rId17"/>
    <sheet name="11 S152" sheetId="18" r:id="rId18"/>
    <sheet name="11 S156" sheetId="19" r:id="rId19"/>
    <sheet name="11 S204" sheetId="20" r:id="rId20"/>
    <sheet name="11 S205" sheetId="21" r:id="rId21"/>
    <sheet name="11 S206" sheetId="22" r:id="rId22"/>
    <sheet name="11 S207" sheetId="23" r:id="rId23"/>
    <sheet name="11 S208" sheetId="24" r:id="rId24"/>
    <sheet name="11 S221" sheetId="25" r:id="rId25"/>
    <sheet name="11 U006" sheetId="26" r:id="rId26"/>
    <sheet name="11 U008" sheetId="27" r:id="rId27"/>
    <sheet name="11 U018" sheetId="28" r:id="rId28"/>
    <sheet name="11 U019" sheetId="29" r:id="rId29"/>
    <sheet name="11 U022" sheetId="30" r:id="rId30"/>
    <sheet name="11 U023" sheetId="31" r:id="rId31"/>
    <sheet name="11 U024" sheetId="32" r:id="rId32"/>
  </sheets>
  <definedNames>
    <definedName name="_xlnm.Print_Area" localSheetId="1">'11 E007'!$B$1:$U$37</definedName>
    <definedName name="_xlnm.Print_Area" localSheetId="2">'11 E008'!$B$1:$U$41</definedName>
    <definedName name="_xlnm.Print_Area" localSheetId="3">'11 E010'!$B$1:$U$37</definedName>
    <definedName name="_xlnm.Print_Area" localSheetId="4">'11 E011'!$B$1:$U$39</definedName>
    <definedName name="_xlnm.Print_Area" localSheetId="5">'11 E012'!$B$1:$U$47</definedName>
    <definedName name="_xlnm.Print_Area" localSheetId="6">'11 E021'!$B$1:$U$39</definedName>
    <definedName name="_xlnm.Print_Area" localSheetId="7">'11 E062'!$B$1:$U$55</definedName>
    <definedName name="_xlnm.Print_Area" localSheetId="8">'11 E063'!$B$1:$U$49</definedName>
    <definedName name="_xlnm.Print_Area" localSheetId="9">'11 E064'!$B$1:$U$47</definedName>
    <definedName name="_xlnm.Print_Area" localSheetId="10">'11 S027'!$B$1:$U$49</definedName>
    <definedName name="_xlnm.Print_Area" localSheetId="11">'11 S028'!$B$1:$U$33</definedName>
    <definedName name="_xlnm.Print_Area" localSheetId="12">'11 S029'!$B$1:$U$43</definedName>
    <definedName name="_xlnm.Print_Area" localSheetId="13">'11 S035'!$B$1:$U$43</definedName>
    <definedName name="_xlnm.Print_Area" localSheetId="14">'11 S108'!$B$1:$U$33</definedName>
    <definedName name="_xlnm.Print_Area" localSheetId="15">'11 S119'!$B$1:$U$37</definedName>
    <definedName name="_xlnm.Print_Area" localSheetId="16">'11 S127'!$B$1:$U$55</definedName>
    <definedName name="_xlnm.Print_Area" localSheetId="17">'11 S152'!$B$1:$U$45</definedName>
    <definedName name="_xlnm.Print_Area" localSheetId="18">'11 S156'!$B$1:$U$39</definedName>
    <definedName name="_xlnm.Print_Area" localSheetId="19">'11 S204'!$B$1:$U$37</definedName>
    <definedName name="_xlnm.Print_Area" localSheetId="20">'11 S205'!$B$1:$U$41</definedName>
    <definedName name="_xlnm.Print_Area" localSheetId="21">'11 S206'!$B$1:$U$41</definedName>
    <definedName name="_xlnm.Print_Area" localSheetId="22">'11 S207'!$B$1:$U$39</definedName>
    <definedName name="_xlnm.Print_Area" localSheetId="23">'11 S208'!$B$1:$U$39</definedName>
    <definedName name="_xlnm.Print_Area" localSheetId="24">'11 S221'!$B$1:$U$37</definedName>
    <definedName name="_xlnm.Print_Area" localSheetId="25">'11 U006'!$B$1:$U$49</definedName>
    <definedName name="_xlnm.Print_Area" localSheetId="26">'11 U008'!$B$1:$U$29</definedName>
    <definedName name="_xlnm.Print_Area" localSheetId="27">'11 U018'!$B$1:$U$39</definedName>
    <definedName name="_xlnm.Print_Area" localSheetId="28">'11 U019'!$B$1:$U$29</definedName>
    <definedName name="_xlnm.Print_Area" localSheetId="29">'11 U022'!$B$1:$U$39</definedName>
    <definedName name="_xlnm.Print_Area" localSheetId="30">'11 U023'!$B$1:$U$29</definedName>
    <definedName name="_xlnm.Print_Area" localSheetId="31">'11 U024'!$B$1:$U$31</definedName>
    <definedName name="_xlnm.Print_Area" localSheetId="0">Portada!$B$1:$AD$100</definedName>
    <definedName name="_xlnm.Print_Titles" localSheetId="1">'11 E007'!$1:$4</definedName>
    <definedName name="_xlnm.Print_Titles" localSheetId="2">'11 E008'!$1:$4</definedName>
    <definedName name="_xlnm.Print_Titles" localSheetId="3">'11 E010'!$1:$4</definedName>
    <definedName name="_xlnm.Print_Titles" localSheetId="4">'11 E011'!$1:$4</definedName>
    <definedName name="_xlnm.Print_Titles" localSheetId="5">'11 E012'!$1:$4</definedName>
    <definedName name="_xlnm.Print_Titles" localSheetId="6">'11 E021'!$1:$4</definedName>
    <definedName name="_xlnm.Print_Titles" localSheetId="7">'11 E062'!$1:$4</definedName>
    <definedName name="_xlnm.Print_Titles" localSheetId="8">'11 E063'!$1:$4</definedName>
    <definedName name="_xlnm.Print_Titles" localSheetId="9">'11 E064'!$1:$4</definedName>
    <definedName name="_xlnm.Print_Titles" localSheetId="10">'11 S027'!$1:$4</definedName>
    <definedName name="_xlnm.Print_Titles" localSheetId="11">'11 S028'!$1:$4</definedName>
    <definedName name="_xlnm.Print_Titles" localSheetId="12">'11 S029'!$1:$4</definedName>
    <definedName name="_xlnm.Print_Titles" localSheetId="13">'11 S035'!$1:$4</definedName>
    <definedName name="_xlnm.Print_Titles" localSheetId="14">'11 S108'!$1:$4</definedName>
    <definedName name="_xlnm.Print_Titles" localSheetId="15">'11 S119'!$1:$4</definedName>
    <definedName name="_xlnm.Print_Titles" localSheetId="16">'11 S127'!$1:$4</definedName>
    <definedName name="_xlnm.Print_Titles" localSheetId="17">'11 S152'!$1:$4</definedName>
    <definedName name="_xlnm.Print_Titles" localSheetId="18">'11 S156'!$1:$4</definedName>
    <definedName name="_xlnm.Print_Titles" localSheetId="19">'11 S204'!$1:$4</definedName>
    <definedName name="_xlnm.Print_Titles" localSheetId="20">'11 S205'!$1:$4</definedName>
    <definedName name="_xlnm.Print_Titles" localSheetId="21">'11 S206'!$1:$4</definedName>
    <definedName name="_xlnm.Print_Titles" localSheetId="22">'11 S207'!$1:$4</definedName>
    <definedName name="_xlnm.Print_Titles" localSheetId="23">'11 S208'!$1:$4</definedName>
    <definedName name="_xlnm.Print_Titles" localSheetId="24">'11 S221'!$1:$4</definedName>
    <definedName name="_xlnm.Print_Titles" localSheetId="25">'11 U006'!$1:$4</definedName>
    <definedName name="_xlnm.Print_Titles" localSheetId="26">'11 U008'!$1:$4</definedName>
    <definedName name="_xlnm.Print_Titles" localSheetId="27">'11 U018'!$1:$4</definedName>
    <definedName name="_xlnm.Print_Titles" localSheetId="28">'11 U019'!$1:$4</definedName>
    <definedName name="_xlnm.Print_Titles" localSheetId="29">'11 U022'!$1:$4</definedName>
    <definedName name="_xlnm.Print_Titles" localSheetId="30">'11 U023'!$1:$4</definedName>
    <definedName name="_xlnm.Print_Titles" localSheetId="31">'11 U024'!$1:$4</definedName>
    <definedName name="_xlnm.Print_Titles" localSheetId="0">Portada!$1:$4</definedName>
  </definedNames>
  <calcPr calcId="145621"/>
</workbook>
</file>

<file path=xl/calcChain.xml><?xml version="1.0" encoding="utf-8"?>
<calcChain xmlns="http://schemas.openxmlformats.org/spreadsheetml/2006/main">
  <c r="U28" i="9" l="1"/>
  <c r="U11" i="10" l="1"/>
  <c r="U11" i="4"/>
  <c r="U11" i="2"/>
  <c r="U20" i="32" l="1"/>
  <c r="U19" i="32"/>
  <c r="U15" i="32"/>
  <c r="U14" i="32"/>
  <c r="U13" i="32"/>
  <c r="U11" i="32"/>
  <c r="U19" i="31"/>
  <c r="U18" i="31"/>
  <c r="U14" i="31"/>
  <c r="U13" i="31"/>
  <c r="U11" i="31"/>
  <c r="U24" i="30"/>
  <c r="U23" i="30"/>
  <c r="U19" i="30"/>
  <c r="U18" i="30"/>
  <c r="U17" i="30"/>
  <c r="U16" i="30"/>
  <c r="U15" i="30"/>
  <c r="U14" i="30"/>
  <c r="U13" i="30"/>
  <c r="U11" i="30"/>
  <c r="U19" i="29"/>
  <c r="U18" i="29"/>
  <c r="U14" i="29"/>
  <c r="U13" i="29"/>
  <c r="U11" i="29"/>
  <c r="U24" i="28"/>
  <c r="U23" i="28"/>
  <c r="U19" i="28"/>
  <c r="U18" i="28"/>
  <c r="U17" i="28"/>
  <c r="U16" i="28"/>
  <c r="U15" i="28"/>
  <c r="U14" i="28"/>
  <c r="U13" i="28"/>
  <c r="U11" i="28"/>
  <c r="U19" i="27"/>
  <c r="U18" i="27"/>
  <c r="U14" i="27"/>
  <c r="U13" i="27"/>
  <c r="U11" i="27"/>
  <c r="U29" i="26"/>
  <c r="U28" i="26"/>
  <c r="U24" i="26"/>
  <c r="U23" i="26"/>
  <c r="U22" i="26"/>
  <c r="U21" i="26"/>
  <c r="U20" i="26"/>
  <c r="U19" i="26"/>
  <c r="U18" i="26"/>
  <c r="U17" i="26"/>
  <c r="U16" i="26"/>
  <c r="U15" i="26"/>
  <c r="U14" i="26"/>
  <c r="U13" i="26"/>
  <c r="U11" i="26"/>
  <c r="U23" i="25"/>
  <c r="U22" i="25"/>
  <c r="U18" i="25"/>
  <c r="U17" i="25"/>
  <c r="U16" i="25"/>
  <c r="U15" i="25"/>
  <c r="U14" i="25"/>
  <c r="U13" i="25"/>
  <c r="U11" i="25"/>
  <c r="U24" i="24"/>
  <c r="U23" i="24"/>
  <c r="U19" i="24"/>
  <c r="U18" i="24"/>
  <c r="U17" i="24"/>
  <c r="U16" i="24"/>
  <c r="U15" i="24"/>
  <c r="U14" i="24"/>
  <c r="U13" i="24"/>
  <c r="U11" i="24"/>
  <c r="U24" i="23"/>
  <c r="U23" i="23"/>
  <c r="U19" i="23"/>
  <c r="U18" i="23"/>
  <c r="U17" i="23"/>
  <c r="U16" i="23"/>
  <c r="U15" i="23"/>
  <c r="U14" i="23"/>
  <c r="U13" i="23"/>
  <c r="U11" i="23"/>
  <c r="U25" i="22"/>
  <c r="U24" i="22"/>
  <c r="U20" i="22"/>
  <c r="U19" i="22"/>
  <c r="U18" i="22"/>
  <c r="U17" i="22"/>
  <c r="U16" i="22"/>
  <c r="U15" i="22"/>
  <c r="U14" i="22"/>
  <c r="U13" i="22"/>
  <c r="U25" i="21"/>
  <c r="U24" i="21"/>
  <c r="U20" i="21"/>
  <c r="U19" i="21"/>
  <c r="U18" i="21"/>
  <c r="U17" i="21"/>
  <c r="U16" i="21"/>
  <c r="U15" i="21"/>
  <c r="U14" i="21"/>
  <c r="U13" i="21"/>
  <c r="U11" i="21"/>
  <c r="U23" i="20"/>
  <c r="U22" i="20"/>
  <c r="U18" i="20"/>
  <c r="U17" i="20"/>
  <c r="U16" i="20"/>
  <c r="U15" i="20"/>
  <c r="U14" i="20"/>
  <c r="U13" i="20"/>
  <c r="U11" i="20"/>
  <c r="U24" i="19"/>
  <c r="U23" i="19"/>
  <c r="U19" i="19"/>
  <c r="U18" i="19"/>
  <c r="U17" i="19"/>
  <c r="U16" i="19"/>
  <c r="U15" i="19"/>
  <c r="U14" i="19"/>
  <c r="U13" i="19"/>
  <c r="U11" i="19"/>
  <c r="U27" i="18"/>
  <c r="U26" i="18"/>
  <c r="U22" i="18"/>
  <c r="U21" i="18"/>
  <c r="U20" i="18"/>
  <c r="U19" i="18"/>
  <c r="U18" i="18"/>
  <c r="U17" i="18"/>
  <c r="U16" i="18"/>
  <c r="U15" i="18"/>
  <c r="U14" i="18"/>
  <c r="U13" i="18"/>
  <c r="U11" i="18"/>
  <c r="U32" i="17"/>
  <c r="U31" i="17"/>
  <c r="U27" i="17"/>
  <c r="U26" i="17"/>
  <c r="U25" i="17"/>
  <c r="U24" i="17"/>
  <c r="U23" i="17"/>
  <c r="U22" i="17"/>
  <c r="U21" i="17"/>
  <c r="U20" i="17"/>
  <c r="U19" i="17"/>
  <c r="U18" i="17"/>
  <c r="U17" i="17"/>
  <c r="U16" i="17"/>
  <c r="U15" i="17"/>
  <c r="U14" i="17"/>
  <c r="U13" i="17"/>
  <c r="U11" i="17"/>
  <c r="U23" i="16"/>
  <c r="U22" i="16"/>
  <c r="U18" i="16"/>
  <c r="U17" i="16"/>
  <c r="U16" i="16"/>
  <c r="U15" i="16"/>
  <c r="U14" i="16"/>
  <c r="U13" i="16"/>
  <c r="U11" i="16"/>
  <c r="U21" i="15"/>
  <c r="U20" i="15"/>
  <c r="U16" i="15"/>
  <c r="U15" i="15"/>
  <c r="U14" i="15"/>
  <c r="U13" i="15"/>
  <c r="U11" i="15"/>
  <c r="U26" i="14"/>
  <c r="U25" i="14"/>
  <c r="U21" i="14"/>
  <c r="U20" i="14"/>
  <c r="U19" i="14"/>
  <c r="U18" i="14"/>
  <c r="U17" i="14"/>
  <c r="U16" i="14"/>
  <c r="U15" i="14"/>
  <c r="U14" i="14"/>
  <c r="U13" i="14"/>
  <c r="U11" i="14"/>
  <c r="U26" i="13"/>
  <c r="U25" i="13"/>
  <c r="U21" i="13"/>
  <c r="U20" i="13"/>
  <c r="U19" i="13"/>
  <c r="U18" i="13"/>
  <c r="U17" i="13"/>
  <c r="U16" i="13"/>
  <c r="U15" i="13"/>
  <c r="U14" i="13"/>
  <c r="U13" i="13"/>
  <c r="U11" i="13"/>
  <c r="U21" i="12"/>
  <c r="U20" i="12"/>
  <c r="U16" i="12"/>
  <c r="U15" i="12"/>
  <c r="U14" i="12"/>
  <c r="U13" i="12"/>
  <c r="U11" i="12"/>
  <c r="U29" i="11"/>
  <c r="U28" i="11"/>
  <c r="U24" i="11"/>
  <c r="U23" i="11"/>
  <c r="U22" i="11"/>
  <c r="U21" i="11"/>
  <c r="U20" i="11"/>
  <c r="U19" i="11"/>
  <c r="U18" i="11"/>
  <c r="U17" i="11"/>
  <c r="U16" i="11"/>
  <c r="U15" i="11"/>
  <c r="U14" i="11"/>
  <c r="U13" i="11"/>
  <c r="U11" i="11"/>
  <c r="U28" i="10"/>
  <c r="U27" i="10"/>
  <c r="U23" i="10"/>
  <c r="U22" i="10"/>
  <c r="U21" i="10"/>
  <c r="U20" i="10"/>
  <c r="U19" i="10"/>
  <c r="U18" i="10"/>
  <c r="U17" i="10"/>
  <c r="U16" i="10"/>
  <c r="U15" i="10"/>
  <c r="U14" i="10"/>
  <c r="U13" i="10"/>
  <c r="U29" i="9"/>
  <c r="U24" i="9"/>
  <c r="U23" i="9"/>
  <c r="U22" i="9"/>
  <c r="U21" i="9"/>
  <c r="U20" i="9"/>
  <c r="U19" i="9"/>
  <c r="U18" i="9"/>
  <c r="U17" i="9"/>
  <c r="U16" i="9"/>
  <c r="U15" i="9"/>
  <c r="U14" i="9"/>
  <c r="U13" i="9"/>
  <c r="U11" i="9"/>
  <c r="U32" i="8"/>
  <c r="U31" i="8"/>
  <c r="U27" i="8"/>
  <c r="U26" i="8"/>
  <c r="U25" i="8"/>
  <c r="U24" i="8"/>
  <c r="U23" i="8"/>
  <c r="U22" i="8"/>
  <c r="U21" i="8"/>
  <c r="U20" i="8"/>
  <c r="U19" i="8"/>
  <c r="U18" i="8"/>
  <c r="U17" i="8"/>
  <c r="U16" i="8"/>
  <c r="U15" i="8"/>
  <c r="U14" i="8"/>
  <c r="U13" i="8"/>
  <c r="U11" i="8"/>
  <c r="U24" i="7"/>
  <c r="U23" i="7"/>
  <c r="U19" i="7"/>
  <c r="U18" i="7"/>
  <c r="U17" i="7"/>
  <c r="U16" i="7"/>
  <c r="U15" i="7"/>
  <c r="U14" i="7"/>
  <c r="U13" i="7"/>
  <c r="U11" i="7"/>
  <c r="U28" i="6"/>
  <c r="U27" i="6"/>
  <c r="U23" i="6"/>
  <c r="U22" i="6"/>
  <c r="U21" i="6"/>
  <c r="U20" i="6"/>
  <c r="U19" i="6"/>
  <c r="U18" i="6"/>
  <c r="U17" i="6"/>
  <c r="U16" i="6"/>
  <c r="U15" i="6"/>
  <c r="U14" i="6"/>
  <c r="U13" i="6"/>
  <c r="U11" i="6"/>
  <c r="U24" i="5"/>
  <c r="U23" i="5"/>
  <c r="U19" i="5"/>
  <c r="U18" i="5"/>
  <c r="U17" i="5"/>
  <c r="U16" i="5"/>
  <c r="U15" i="5"/>
  <c r="U14" i="5"/>
  <c r="U13" i="5"/>
  <c r="U11" i="5"/>
  <c r="U23" i="4"/>
  <c r="U22" i="4"/>
  <c r="U18" i="4"/>
  <c r="U17" i="4"/>
  <c r="U16" i="4"/>
  <c r="U15" i="4"/>
  <c r="U14" i="4"/>
  <c r="U13" i="4"/>
  <c r="U25" i="3"/>
  <c r="U24" i="3"/>
  <c r="U20" i="3"/>
  <c r="U19" i="3"/>
  <c r="U18" i="3"/>
  <c r="U17" i="3"/>
  <c r="U16" i="3"/>
  <c r="U15" i="3"/>
  <c r="U14" i="3"/>
  <c r="U13" i="3"/>
  <c r="U11" i="3"/>
  <c r="U23" i="2"/>
  <c r="U22" i="2"/>
  <c r="U18" i="2"/>
  <c r="U17" i="2"/>
  <c r="U16" i="2"/>
  <c r="U15" i="2"/>
  <c r="U14" i="2"/>
  <c r="U13" i="2"/>
</calcChain>
</file>

<file path=xl/sharedStrings.xml><?xml version="1.0" encoding="utf-8"?>
<sst xmlns="http://schemas.openxmlformats.org/spreadsheetml/2006/main" count="3534" uniqueCount="1414">
  <si>
    <t>Avance en los Indicadores de los Programas presupuestarios de la Administración Pública Federal</t>
  </si>
  <si>
    <t xml:space="preserve">    Ejercicio Fiscal 2013</t>
  </si>
  <si>
    <t>Ramo 11
Educación Pública</t>
  </si>
  <si>
    <t>Programas presupuestarios cuya MIR se incluye en el reporte</t>
  </si>
  <si>
    <t xml:space="preserve">E-007 Prestación de servicios de educación media superior
E-008 Prestación de servicios de educación técnica
E-10 Prestación de servicios de educación superior y posgrado
E-011 Impulso al desarrollo de la cultura
E-012 Incorporación, restauración, conservación y mantenimiento de bienes patrimonio de la Nación
E-021 Investigación científica y desarrollo tecnológico
E-062 Programa de Educación inicial y básica para la población rural e indígena 
E-063 Acciones compensatorias para Abatir el Rezago Educativo en Educación Inicial y Básica
E-064 Atención a la Demanda de Educación para Adultos (INEA)
S-027 Programa de Mejoramiento del Profesorado (PROMEP)
S-028 Programa Nacional de Becas y Financiamiento (PRONABES)
S-029 Programa Escuelas de Calidad
S-035 Programa de Mejoramiento Institucional de las Escuelas Normales Públicas
S-108 Programa Becas de apoyo a la Educación Básica de Madres Jóvenes y Jóvenes Embarazadas
S-119 Programa Asesor Técnico Pedagógico y para la Atención Educativa a la diversidad social, lingüística y cultural
S-127 Programa del Sistema Nacional de Formación Continua y Superación Profesional de Maestros de Educación Básica en Servicio
S-152 Programa para el Fortalecimiento del Servicio de la Educación Telesecundaria
S-156 Programa Beca de Apoyo a la Práctica Intensiva y al Servicio Social para Estudiantes de Séptimo y Octavo Semestres de Escuelas Normales Públicas
S-204 Cultura Física
S-205 Deporte
S-206 Sistema Mexicano del Deporte de Alto Rendimiento
S-207 Programa de Apoyo a las Culturas Municipales y Comunitarias (PACMYC)
S-208 Programa de Apoyo a Comunidades para Restauración de Monumentos y Bienes Artísticos de Propiedad Federal (FOREMOBA)
S-221 Programa Escuelas de Tiempo Completo
U-006 Subsidios federales para organismos descentralizados estatales
U-008 Fondo de Apoyo para Saneamiento Financiero de las UPES por Abajo de la Media Nacional en Subsidio por Alumno (Fondo de concurso para propuestas de saneamiento financiero)
U-018 Programa de becas
U-019 Apoyo a desregulados
U-022 Educación para personas con discapacidad
U-023 Subsidios para centros de educación
U-024 Expansión de la oferta educativa en Educación Media Superior
</t>
  </si>
  <si>
    <t>DATOS DEL PROGRAMA</t>
  </si>
  <si>
    <t>Programa presupuestario</t>
  </si>
  <si>
    <t>E007</t>
  </si>
  <si>
    <t>Prestación de servicios de educación media superior</t>
  </si>
  <si>
    <t>Ramo</t>
  </si>
  <si>
    <t>11</t>
  </si>
  <si>
    <t>Educación Pública</t>
  </si>
  <si>
    <t>Unidad responsable</t>
  </si>
  <si>
    <t>L5N-Colegio de Bachilleres</t>
  </si>
  <si>
    <t>Enfoques transversales</t>
  </si>
  <si>
    <t>Clasificación Funcional</t>
  </si>
  <si>
    <t>Finalidad</t>
  </si>
  <si>
    <t>2 - Desarrollo Social</t>
  </si>
  <si>
    <t>Función</t>
  </si>
  <si>
    <t>5 - Educación</t>
  </si>
  <si>
    <t>Subfunción</t>
  </si>
  <si>
    <t>2 - Educación Media Superior</t>
  </si>
  <si>
    <t>Actividad Institucional</t>
  </si>
  <si>
    <t>4 - Educación media superior de calidad</t>
  </si>
  <si>
    <t>RESULTADOS</t>
  </si>
  <si>
    <t>NIVEL</t>
  </si>
  <si>
    <t>OBJETIVOS</t>
  </si>
  <si>
    <t>INDICADORES</t>
  </si>
  <si>
    <t>AVANCE</t>
  </si>
  <si>
    <t>Denominación</t>
  </si>
  <si>
    <t>Método de cálculo</t>
  </si>
  <si>
    <t>Unidad de medida</t>
  </si>
  <si>
    <t>Tipo-Dimensión-Frecuencia</t>
  </si>
  <si>
    <t>Meta anual</t>
  </si>
  <si>
    <t>Realizado al periodo</t>
  </si>
  <si>
    <t>Avance % anual vs Modificada</t>
  </si>
  <si>
    <t>Aprobada</t>
  </si>
  <si>
    <t>Modificada</t>
  </si>
  <si>
    <t>Fin</t>
  </si>
  <si>
    <t>Contribuir a ampliar la cobertura de educación media superior, mediante la impartición de los servicios educativos del nivel.</t>
  </si>
  <si>
    <r>
      <t>Porcentaje de cobertura educativa en el nivel medio superior, con respecto a la población de 16 a 18 años.</t>
    </r>
    <r>
      <rPr>
        <i/>
        <sz val="10"/>
        <color indexed="30"/>
        <rFont val="Soberana Sans"/>
        <family val="3"/>
      </rPr>
      <t xml:space="preserve">
</t>
    </r>
  </si>
  <si>
    <t>(Número de alumnos atendidos en educación media superior en el año n / Población de 16 a 18 años en el año n) * 100</t>
  </si>
  <si>
    <t>Porcentaje de alumno atendido</t>
  </si>
  <si>
    <t>Estratégico-Eficacia-Anual</t>
  </si>
  <si>
    <t>Propósito</t>
  </si>
  <si>
    <t>Los servicios educativos de nivel medio superior de calidad para preparar el ingreso de la población escolar atendida al nivel superior son proporcionados.</t>
  </si>
  <si>
    <r>
      <t>Porcentaje de egresados de bachillerato con promedio igual o superior a ocho</t>
    </r>
    <r>
      <rPr>
        <i/>
        <sz val="10"/>
        <color indexed="30"/>
        <rFont val="Soberana Sans"/>
        <family val="3"/>
      </rPr>
      <t xml:space="preserve">
Indicador Seleccionado</t>
    </r>
  </si>
  <si>
    <t>(Egresados de bachillerato por generación, con promedio mínimo de ocho en el año en curso / Total de egresados de la generación en el año en curso) * 100</t>
  </si>
  <si>
    <t>Porcentaje</t>
  </si>
  <si>
    <t>Estratégico-Eficacia-Trimestral</t>
  </si>
  <si>
    <t>Componente</t>
  </si>
  <si>
    <t>A Planta docente titulada con nivel de licenciatura</t>
  </si>
  <si>
    <r>
      <t>Porcentaje de docentes de educación media superior titulados.</t>
    </r>
    <r>
      <rPr>
        <i/>
        <sz val="10"/>
        <color indexed="30"/>
        <rFont val="Soberana Sans"/>
        <family val="3"/>
      </rPr>
      <t xml:space="preserve">
</t>
    </r>
  </si>
  <si>
    <t>(Número de docentes titulados de educación media superior en el año n / Total de docentes de educación media superior en el año n) X 100</t>
  </si>
  <si>
    <t>Docente titulado de educación media superior</t>
  </si>
  <si>
    <t/>
  </si>
  <si>
    <t>B Equipo de cómputo proporcionado.</t>
  </si>
  <si>
    <r>
      <t>Proporción de alumnos por computadora.</t>
    </r>
    <r>
      <rPr>
        <i/>
        <sz val="10"/>
        <color indexed="30"/>
        <rFont val="Soberana Sans"/>
        <family val="3"/>
      </rPr>
      <t xml:space="preserve">
</t>
    </r>
  </si>
  <si>
    <t>Número de alumnos de la matrícula del año t / Total de equipos disponibles del año t</t>
  </si>
  <si>
    <t>Alumno</t>
  </si>
  <si>
    <t>Estratégico-Eficiencia-Trimestral</t>
  </si>
  <si>
    <t>Actividad</t>
  </si>
  <si>
    <t>A 1 Fortalecimiento del programa de estímulos al personal docente.</t>
  </si>
  <si>
    <r>
      <t>Porcentaje de docentes de educación media superior apoyados para su superación académica, con respecto al total de docentes de educación media superior.</t>
    </r>
    <r>
      <rPr>
        <i/>
        <sz val="10"/>
        <color indexed="30"/>
        <rFont val="Soberana Sans"/>
        <family val="3"/>
      </rPr>
      <t xml:space="preserve">
</t>
    </r>
  </si>
  <si>
    <t>(Número de docentes de educación media superior apoyados en el año n/ Total de docentes de educación media superior en el año n) X 100</t>
  </si>
  <si>
    <t>Docente de educación media superior apoyado</t>
  </si>
  <si>
    <t>Gestión-Eficacia-Trimestral</t>
  </si>
  <si>
    <t>A 2 Adquisición de equipo de cómputo.</t>
  </si>
  <si>
    <r>
      <t>Porcentaje de equipo de cómputo adquirido para el uso de los alumnos en el año actual, con respecto al total de equipos existentes.</t>
    </r>
    <r>
      <rPr>
        <i/>
        <sz val="10"/>
        <color indexed="30"/>
        <rFont val="Soberana Sans"/>
        <family val="3"/>
      </rPr>
      <t xml:space="preserve">
</t>
    </r>
  </si>
  <si>
    <t>(Equipos de cómputo adquiridos en el año n / Total de equipos de cómputo existentes en el año n) X 100</t>
  </si>
  <si>
    <t xml:space="preserve">Porcentaje de equipo adquirido </t>
  </si>
  <si>
    <t>Gestión-Eficacia-Anual</t>
  </si>
  <si>
    <t>B 3 Servicios de mantenimiento proporcionados a equipos e inmuebles de talleres y laboratorios de educación media superior.</t>
  </si>
  <si>
    <r>
      <t>Porcentaje de solicitudes de mantenimiento del Nivel Medio Superior atendidas, respecto al total de solicitudes presentadas</t>
    </r>
    <r>
      <rPr>
        <i/>
        <sz val="10"/>
        <color indexed="30"/>
        <rFont val="Soberana Sans"/>
        <family val="3"/>
      </rPr>
      <t xml:space="preserve">
</t>
    </r>
  </si>
  <si>
    <t xml:space="preserve">(Servicios de mantenimiento realizados del Nivel Medio Superior en el año n / Total de servicios de mantenimiento solicitados por el Nivel Medio Superior en el año n) X 100  </t>
  </si>
  <si>
    <t>Porcentaje de Servicio realizado</t>
  </si>
  <si>
    <t>B 4 Desarrollo de programas integrales que permitan proporcionar equipamiento al nivel medio superior.</t>
  </si>
  <si>
    <r>
      <t>Porcentaje de equipamiento a Laboratorios y Talleres del nivel Medio Superior, con respecto al total de Laboratorios y Talleres existentes en el nivel Medio Superior.</t>
    </r>
    <r>
      <rPr>
        <i/>
        <sz val="10"/>
        <color indexed="30"/>
        <rFont val="Soberana Sans"/>
        <family val="3"/>
      </rPr>
      <t xml:space="preserve">
</t>
    </r>
  </si>
  <si>
    <t>(Laboratorios y talleres equipados del Nivel Medio Superior en el año n  / Total de laboratorios y talleres del Nivel Medio Superior en el año n) X 100</t>
  </si>
  <si>
    <t>Porcentaje de laboratorio y taller equipado</t>
  </si>
  <si>
    <t>PRESUPUESTO</t>
  </si>
  <si>
    <t>Ejercicio</t>
  </si>
  <si>
    <t>Avance %</t>
  </si>
  <si>
    <t>Millones de pesos</t>
  </si>
  <si>
    <t>Anual</t>
  </si>
  <si>
    <t>PRESUPUESTO ORIGINAL</t>
  </si>
  <si>
    <t>PRESUPUESTO MODIFICADO</t>
  </si>
  <si>
    <t>Justificación de diferencia de avances con respecto a las metas programadas</t>
  </si>
  <si>
    <t xml:space="preserve">Indicadores con frecuencia de medición con un periodo mayor de tiempo al anual. 
Estos indicadores no registraron información ni justificación, debido a que lo harán de conformidad con la frecuencia de medición con la que programaron sus metas. </t>
  </si>
  <si>
    <r>
      <t xml:space="preserve">Porcentaje de cobertura educativa en el nivel medio superior, con respecto a la población de 16 a 18 años.
</t>
    </r>
    <r>
      <rPr>
        <sz val="10"/>
        <rFont val="Soberana Sans"/>
        <family val="2"/>
      </rPr>
      <t xml:space="preserve"> Causa : Para la UR 616 la variación corresponde a que en el Proceso de Planeación se tomó como base la información del Ciclo Escolar 2011-2012, y que para el semestre A del ciclo escolar 2012-2013 se abrieron nuevos grupos en el plantel CEB 8/2 ubicado en La Paz, Baja California Sur. Para la UNAM el resultado se debió a la optimización de los espacios destinados a servicios de educación media superior (ampliaciones, rehabilitaciones, redistribuciones y manejo eficiente de espacios físicos) y el Colegio implantó el Plan Nacional de Desarrollo 2012-2018, que establece la obligatoriedad de la Educación de Nivel Medio Superior                Efecto: Los beneficios económicos y sociales contribuyeron a cubrir la demanda de servicios educativos de Educación Media Superior en zonas urbanas, rurales y marginadas de 22 entidades federativas y el Distrito Federal; así como, el fortalecimiento de las instituciones educativas. Se proporcionó a hombres y mujeres una formación integral que les permitirá contar con los conocimientos sólidos y necesarios para su incorporación a estudios de nivel superior o bien su integración a la vida productiva, permitiendo  la continuidad en su formación             Otros Motivos:</t>
    </r>
  </si>
  <si>
    <r>
      <t xml:space="preserve">Porcentaje de egresados de bachillerato con promedio igual o superior a ocho
</t>
    </r>
    <r>
      <rPr>
        <sz val="10"/>
        <rFont val="Soberana Sans"/>
        <family val="2"/>
      </rPr>
      <t xml:space="preserve"> Causa : La Secretaría de Educación Pública estableció en el programa presupuestario E007 para el ejercicio 2013, el indicador estratégico Porcentaje de egresados de bachillerato con promedio igual o superior a ocho, como un indicador de eficacia. Al cierre del año, se logró que egresaran 29,394 alumnos de bachillerato con promedio mínimo de ocho de un total de 48,337 egresados, lo que significa un 60.81 %, con lo que la meta de este indicador alcanzó un porcentaje de cumplimiento del 111.49%.     Debido a que para la realización de la meta participan diversas unidades responsables, el comportamiento global del indicador se explica con la información que reporta cada una de ellas:    . La Dirección General del Bachillerato, señala que en el ciclo escolar 2012-2013 egresaron 4,581 alumnos de bachillerato de la generación con promedio mínimo de ocho con relación al 7,531 alumnos egresados, lo que representa un 60.83 % de alumnos egresados de bachillerato con promedio mínimo de ocho.    . Para 2013 la UNAM señala que al cierre del ejercicio el porcentaje alcanzado fue de 66.25 % (equivalente a 17,759 egresados de bachillerato con promedio mínimo de ocho con respecto de 26,806 egresados en el año 2013), lo que significó un porcentaje de cumplimiento del indicador de 103.39 %.     . El Colegio de Bachilleres (COLBACH) apoya con eficacia a la población inscrita en sus 20 planteles para que concluya sus estudios de nivel medio superior con promedio  de calificaciones definitivos de ocho o más de ocho. Al final del ejercicio se observó un porcentaje de cumplimiento de 13.60 % adicional a lo programado. Este comportamiento se explica gracias a que el Colegio ha venido aplicando una serie de programas académicos encaminados al apoyo a la aprobación y en particular la aprobación con calificación de ocho, lo que permitió  un egreso de 7,054 alumnos con promedio de ocho o más, de un total de 14,000 egresados.             Efecto: Efectos socioeconómicos del alcance de metas del indicador    Los beneficios económicos y sociales alcanzados con los resultados de este indicador de propósito, contribuyeron a:   . La Dirección General del Bachillerato, contribuyó a facilitar el acceso de los egresados a mayores opciones de educación a nivel superior en zonas urbanas, rurales y marginadas de 22 entidades federativas y el Distrito Federal, además se avanzó en el cumplimiento del objetivo de preparar el ingreso de la población escolar atendida al nivel superior.   . La UNAM señala que los resultados alcanzados permitieron el egreso de alumnos de educación media superior con mejores capacidades para proseguir con su formación profesional.  Contar con hombres y mujeres con una formación integral, con conocimientos sólidos y necesarios para su ingreso a nivel superior o bien su integración a la vida productiva.   . Los resultados del COLBACH se reflejan en que los alumnos egresados se integran a la sociedad con una formación legal, con pensamiento crítico y reflexivo, que les permita fortalecer la democracia y promover la solidaridad y tolerancia con los demás. Los alumnos que egresan del Colegio con promedio de ocho o mayor a ocho, se encuentran con mayores posibilidades de ingresar a las Instituciones Públicas de nivel Superior lo cual beneficiará en el futuro a sus familias y a ellos mismos.                                         Otros Motivos:Para mayor información acerca de las causas de las variaciones entre la meta alcanzada y la meta original del indicador consultar el documento Análisis del Cumplimiento de los Indicadores para Resultados de la Secretaría de Educación Pública, correspondiente a la Cuenta de la Hacienda Pública Federal 2013. </t>
    </r>
  </si>
  <si>
    <r>
      <t xml:space="preserve">Porcentaje de docentes de educación media superior titulados.
</t>
    </r>
    <r>
      <rPr>
        <sz val="10"/>
        <rFont val="Soberana Sans"/>
        <family val="2"/>
      </rPr>
      <t xml:space="preserve"> Causa : El cumplimiento es resultado principalmente a que si bien se logró contar con un número de docentes titulados mayor al programado en la UNAM, la plantilla de docentes de nivel medio superior se incrementó en mayor medida, a efecto de atender la demanda presentada en este nivel. Mientras que en el colegio la planta docente se ha venido renovando y aún se cuenta con profesores que ingresaron con antigüedad de 25 años o más y para alcanzar una mejora salarial se han interesado en obtener el título profesional.           Efecto: Los beneficios sociales y económicos alcanzados permitieron brindar mejores servicios educativos a través de una plantilla de docentes de educación media superior profesionalizada y mejor capacitada. Lo que coadyuvó en proporcionar un servicio de calidad educativa en este nivel, adicional a que permite a los profesores acceder a los programas que otorgan estímulos al desempeño docente, lo cual se traduce en beneficios económicos para los docentes lo que conlleva  a un mayor compromiso de parte del profesor con su quehacer.         Otros Motivos:</t>
    </r>
  </si>
  <si>
    <r>
      <t xml:space="preserve">Proporción de alumnos por computadora.
</t>
    </r>
    <r>
      <rPr>
        <sz val="10"/>
        <rFont val="Soberana Sans"/>
        <family val="2"/>
      </rPr>
      <t xml:space="preserve"> Causa : La variación corresponde a que se abrieron nuevos grupos en el plantel CEB 8/2 ubicado en La Paz, Baja California Sur, cabe señalar que se tienen 3,160 equipos de cómputo por lo que se tienen 7 alumnos por computadora en la UR 616. Para la UNAM y Colegio es resultado principalmente del incremento en la matrícula atendida en educación media superior, así como de la adquisición del equipo de cómputo necesario y adecuado para brindar el servicio requerido.                   Efecto: Se contribuyó a impulsar el desarrollo y utilización de tecnologías de la información y de las comunicaciones con el fin de apoyar el aprendizaje de los 30,316 estudiantes atendidos en los 36 planteles federales coordinados. El mundo actual experimenta una globalización en la que la informática juega un papel preponderante al proporcionar equipo de cómputo a los alumnos, les permite tener acceso a información que anteriormente resultaba oneroso conseguirla.                Otros Motivos:</t>
    </r>
  </si>
  <si>
    <r>
      <t xml:space="preserve">Porcentaje de docentes de educación media superior apoyados para su superación académica, con respecto al total de docentes de educación media superior.
</t>
    </r>
    <r>
      <rPr>
        <sz val="10"/>
        <rFont val="Soberana Sans"/>
        <family val="2"/>
      </rPr>
      <t xml:space="preserve"> Causa : Para la UNAM la meta programada fue de apoyar al 90.40 por ciento de los docentes de nivel medio superior al cierre del año la meta alcanzada fue de 88.16 por ciento lo que significó un porcentaje de cumplimiento del indicador de 97.52 por ciento con respecto de la meta original. Este comportamiento se derivó principalmente por el hecho de que si bien se apoyó a un número mayor de docentes al programado, la plantilla de docentes de este nivel creció en mayor medida, a efecto de apoyar la demanda presentada en este nivel. El Colegio al final del ejercicio observó una mayor participación de los docentes interesados en alcanzar el beneficio del estímulo al desempeño, razón por la cual, los recursos se distribuyeron entre un mayor número de docentes, lo cual significó proporcionar estímulos a 962 profesores.           Efecto: Los beneficios alcanzados con este indicador de actividad, permitieron brindar un mejor servicio a los alumnos de nivel medio superior de los Centros y Escuelas de la UNAM a través de una plantilla de docentes actualizada y mejor capacitada, permitiendo contar con una planta docente actualizada, lo que traduce en el enriquecimiento de sus cátedras impartidas a sus alumnos por los profesores, lo cual redunda en beneficio de los alumnos, al recibir conocimientos actualizados.         Otros Motivos:</t>
    </r>
  </si>
  <si>
    <r>
      <t xml:space="preserve">Porcentaje de equipo de cómputo adquirido para el uso de los alumnos en el año actual, con respecto al total de equipos existentes.
</t>
    </r>
    <r>
      <rPr>
        <sz val="10"/>
        <rFont val="Soberana Sans"/>
        <family val="2"/>
      </rPr>
      <t xml:space="preserve"> Causa : La meta programada fue de 5.14 por ciento de equipos de cómputo a adquirir durante el ejercicio 2013 al cierre del año el porcentaje alcanzado fue de 10.69 por ciento, lo que significó un porcentaje de cumplimiento del indicador de 207.98 por ciento con respecto de la estimación original. Este comportamiento es resultado básicamente de la sustitución de equipo de cómputo que por sus características tecnológicas y físicas no cubren las condiciones necesarias para su uso, así como de la adquisición de equipo de cómputo adicional de acuerdo a los requerimientos y especificaciones solicitadas para el uso de los alumnos de educación media superior de los Centros y Escuelas de la UNAM.      Efecto: Los beneficios económicos y sociales logrados con este indicador de actividad, permitieron brindar un mejor servicio a los alumnos de educación media superior el disponer de un mayor número de equipos de cómputo, adecuados para realizar sus prácticas y trabajos académicos encomendados, lo que apoyará en contar con alumnos de educación media superior con mejores capacidades y habilidades.     Otros Motivos:</t>
    </r>
  </si>
  <si>
    <r>
      <t xml:space="preserve">Porcentaje de solicitudes de mantenimiento del Nivel Medio Superior atendidas, respecto al total de solicitudes presentadas
</t>
    </r>
    <r>
      <rPr>
        <sz val="10"/>
        <rFont val="Soberana Sans"/>
        <family val="2"/>
      </rPr>
      <t xml:space="preserve"> Causa : En su conjunto la meta alcanzada fue mayor a la programada, que aunque disminuyó el número de laboratorios y talleres atendidos el costo del equipamiento fue mayor al costo promedio, pero sin castigar el acceso a las tecnologías de punta.        Efecto: El impacto socioeconómico, se mide directamente, con alumnos que tienen acceso a equipamiento de tipo industrial, que los prepara para competir en igualdad de condiciones en el mercado laboral. Contar con laboratorios y equipos de laboratorio en condiciones de uso, permite llevar a cabo prácticas experimentales que fortalecen su formación en las áreas respectivas.             Otros Motivos:</t>
    </r>
  </si>
  <si>
    <r>
      <t xml:space="preserve">Porcentaje de equipamiento a Laboratorios y Talleres del nivel Medio Superior, con respecto al total de Laboratorios y Talleres existentes en el nivel Medio Superior.
</t>
    </r>
    <r>
      <rPr>
        <sz val="10"/>
        <rFont val="Soberana Sans"/>
        <family val="2"/>
      </rPr>
      <t xml:space="preserve"> Causa : Se refleja una cantidad menor de la meta estimada, debido a que se atendió equipamiento de mayor costo promedio, disminuyendo el número de laboratorios y talleres atendidos, pero sin castigar el acceso a las tecnologías de punta       Efecto: El impacto socioeconómico, se mide directamente, con alumnos que tienen acceso a equipamiento de tipo industrial, que los prepara para competir en igualdad de condiciones en el mercado laboral      Otros Motivos:</t>
    </r>
  </si>
  <si>
    <t>E008</t>
  </si>
  <si>
    <t>Prestación de servicios de educación técnica</t>
  </si>
  <si>
    <t>610-Dirección General de Educación Tecnológica Agropecuaria</t>
  </si>
  <si>
    <t>Contribuir a mejorar el logro educativo de los alumnos de educación técnica del nivel de educación media superior mediante la prestación del servicio educativo en los planteles.</t>
  </si>
  <si>
    <r>
      <t>Porcentaje de alumnos que ubican su logro educativo en el nivel de dominio Bueno en la prueba Enlace</t>
    </r>
    <r>
      <rPr>
        <i/>
        <sz val="10"/>
        <color indexed="30"/>
        <rFont val="Soberana Sans"/>
        <family val="3"/>
      </rPr>
      <t xml:space="preserve">
</t>
    </r>
  </si>
  <si>
    <t>(Total de alumnos que alcanzaron el nivel Bueno en la prueba de habilidad lectora más Total de alumnos que alcanzaron el nivel Bueno en la prueba de habilidad matemática en el año N / Total de alumnos que presentaron la prueba de habilidad lectora más la prueba de habilidad matemática en el año N) X 100</t>
  </si>
  <si>
    <t>Los alumnos en los planteles de educación técnica del nivel medio superior son atendidos y se incorporan en programas educativos de calidad.</t>
  </si>
  <si>
    <r>
      <t>Porcentaje de la matrícula de educación técnica en programas de educación de calidad en nivel medio superior</t>
    </r>
    <r>
      <rPr>
        <i/>
        <sz val="10"/>
        <color indexed="30"/>
        <rFont val="Soberana Sans"/>
        <family val="3"/>
      </rPr>
      <t xml:space="preserve">
</t>
    </r>
  </si>
  <si>
    <t>(Total de la matrícula educación técnica inscrita en programas de calidad del nivel medio superior en el año N / Total de la matrícula de educación del nivel medio superior inscrita en programas evaluables en el año N) * 100</t>
  </si>
  <si>
    <r>
      <t>Porcentaje de alumnos atendidos en educacion técnica del nivel media superior</t>
    </r>
    <r>
      <rPr>
        <i/>
        <sz val="10"/>
        <color indexed="30"/>
        <rFont val="Soberana Sans"/>
        <family val="3"/>
      </rPr>
      <t xml:space="preserve">
Indicador Seleccionado</t>
    </r>
  </si>
  <si>
    <t>( Total de alumnos atendidos en educación técnica del nivel medio superior en el año N / Total de la demanda potencial de educación media superior entre los 16 a 18 años a nivel nacional en el año N) X 100</t>
  </si>
  <si>
    <t>A Logro del reconocimiento externo en programas educativos</t>
  </si>
  <si>
    <r>
      <t>Porcentaje de programas educativos con reconocimiento externo en nivel medio superior</t>
    </r>
    <r>
      <rPr>
        <i/>
        <sz val="10"/>
        <color indexed="30"/>
        <rFont val="Soberana Sans"/>
        <family val="3"/>
      </rPr>
      <t xml:space="preserve">
</t>
    </r>
  </si>
  <si>
    <t>(Número de programas con reconocimiento externo en el nivel medio superior en el año N / Total de programas acreditables de educacion del nivel medio superior en el año N) X 100</t>
  </si>
  <si>
    <t>Porcentaje de programas educativos</t>
  </si>
  <si>
    <t>B Los planteles federales de educación técnica del nivel medio superior, son apoyados con recursos presupuestarios.</t>
  </si>
  <si>
    <r>
      <t>Porcentaje de planteles federales de educación técnica del nivel medio superior apoyados con recursos federales presupuestales</t>
    </r>
    <r>
      <rPr>
        <i/>
        <sz val="10"/>
        <color indexed="30"/>
        <rFont val="Soberana Sans"/>
        <family val="3"/>
      </rPr>
      <t xml:space="preserve">
</t>
    </r>
  </si>
  <si>
    <t>(Total de planteles federales en educación técnica del nivel medio superior apoyados con recursos presupuestarios en el año N / Total de planteles de educación del nivel medio superior en el año N) * 100</t>
  </si>
  <si>
    <t xml:space="preserve">Porcentaje de plantel apoyado </t>
  </si>
  <si>
    <t>A 1 Planta docente de tiempo completo (TC) de educación media superior, que cuenta con grado de especialidad, maestría o doctorado.</t>
  </si>
  <si>
    <r>
      <t>Porcentaje de académicos de tiempo completo con grado de especialidad, maestría o doctorado, con relación al total de la planta docente de tiempo completo en educación media superior</t>
    </r>
    <r>
      <rPr>
        <i/>
        <sz val="10"/>
        <color indexed="30"/>
        <rFont val="Soberana Sans"/>
        <family val="3"/>
      </rPr>
      <t xml:space="preserve">
</t>
    </r>
  </si>
  <si>
    <t>(Número de académicos de tiempo completo con grado de especialidad, maestría o doctorado en el año N/ Total de académicos de tiempo completo en el año N) * 100</t>
  </si>
  <si>
    <t>A 2 Diseño y actualización de documentos curriculares de acuerdo a lo planeado en la Reforma Integral del Bachillerato y al Modelo Académico de Calidad para la Competitividad.</t>
  </si>
  <si>
    <r>
      <t>Porcentaje de documentos curriculares diseñados y actualizados</t>
    </r>
    <r>
      <rPr>
        <i/>
        <sz val="10"/>
        <color indexed="30"/>
        <rFont val="Soberana Sans"/>
        <family val="3"/>
      </rPr>
      <t xml:space="preserve">
</t>
    </r>
  </si>
  <si>
    <t>(Número de documentos curriculares diseñados y/o actualizados en el periodo N / Total de documentos curriculares existentes) X 100</t>
  </si>
  <si>
    <t>B 3 Coordinaciones Estatales atendidas en tiempo y forma de conformidad con la normatividad vigente</t>
  </si>
  <si>
    <r>
      <t>Porcentaje de Coordinaciones Estatales de Educación Media Superior atendidas.</t>
    </r>
    <r>
      <rPr>
        <i/>
        <sz val="10"/>
        <color indexed="30"/>
        <rFont val="Soberana Sans"/>
        <family val="3"/>
      </rPr>
      <t xml:space="preserve">
</t>
    </r>
  </si>
  <si>
    <t>(Total de Coordinaciones Estatales de educación media superior atendidas en el año N / Total de Coordinaciones Estatales de educacion media superior en el año N) * 100</t>
  </si>
  <si>
    <t>porcentaje de coordinación atendida</t>
  </si>
  <si>
    <t>B 4 Planteles apoyados con recursos para gastos de operación</t>
  </si>
  <si>
    <r>
      <t>Porcentaje de planteles federales apoyados con gastos de operación del nivel medio superior</t>
    </r>
    <r>
      <rPr>
        <i/>
        <sz val="10"/>
        <color indexed="30"/>
        <rFont val="Soberana Sans"/>
        <family val="3"/>
      </rPr>
      <t xml:space="preserve">
</t>
    </r>
  </si>
  <si>
    <t>(Total de planteles federales apoyados con gastos de operación en educación técnica del nivel medio superior en el año N / Total de planteles de nivel medio superior suceptibles de recibir recursos para gastos de operación en el año N) * 100</t>
  </si>
  <si>
    <t>Porcentaje de plantel apoyado</t>
  </si>
  <si>
    <t>B 5 Asignacion de recursos a los planteles del nivel media superior, para atender gastos de operación.</t>
  </si>
  <si>
    <r>
      <t>Porcentaje de recursos asignados a los planteles para gastos de operacion</t>
    </r>
    <r>
      <rPr>
        <i/>
        <sz val="10"/>
        <color indexed="30"/>
        <rFont val="Soberana Sans"/>
        <family val="3"/>
      </rPr>
      <t xml:space="preserve">
</t>
    </r>
  </si>
  <si>
    <t>(Total de recursos asignados a planteles para gastos de operación en nivel medio superior en el año N / Total recursos asignados a planteles de nivel medio superior en el año N) * 100</t>
  </si>
  <si>
    <t>Porcentaje de recursos asignados</t>
  </si>
  <si>
    <t>Gestión-Eficiencia-Trimestral</t>
  </si>
  <si>
    <r>
      <t xml:space="preserve">Porcentaje de alumnos que ubican su logro educativo en el nivel de dominio Bueno en la prueba Enlace
</t>
    </r>
    <r>
      <rPr>
        <sz val="10"/>
        <rFont val="Soberana Sans"/>
        <family val="2"/>
      </rPr>
      <t xml:space="preserve"> Causa : La UR 600 informa que la diferencia entre la meta programada y la alcanzada se debe al incremento  en el aprovechamiento escolar por parte de los alumnos en el nivel medio superior. La UR 611 informa que cada uno de los docentes frente a grupo de los CETis y CBTis en cada una de sus asignaturas continuaron propiciando en todos sus alumnos mejorar la "lectura de comprensión", del mismo modo la academia de matemáticas en cada uno de los planteles de la DGETI aplicaron estrategias para reforzar y mejorar los conocimientos en Aritmética y Algebra, asimismo se desarrollaron problemas similares a los que vienen en las "Prueba Enlace" haciendo énfasis en el razonamiento y comprensión de la lectura con lo cual se logró superar con 60,400 alumnos la meta anual programada, es decir se superó en 109.62% la meta anual programada. La 615 informa que en relación a los alumnos que presentaron la prueba enlace, el universo aumentó a 5,766 alumnos, de los cuales obtuvieron el nivel de bueno 3,015, el resto obtuvo una calificación diferente a bueno (excelente, etc.). La UR B00, informa se da cumplimiento al 98.39%, de la meta estimada, obedece a las acciones desarrolladas por las Unidades del Nivel Medio Superior en apoyo al aprendizaje, lo cual se refleja en el incremento del número de alumnos en el nivel EXCELENTE de la prueba ENLACE, en habilidad matemática, lo que produjo un decremento en el nivel BUENO, con respecto al año anterior. La UR L3P informa que el CETI, obtuvo un resultado excelente en la prueba ENLACE, debido a que el 60.9% de sus estudiantes ubican su logro en la prueba ENLACE en el nivel de EXCELENTE, y 25.3% en el nivel de BUENO, razón por la cual se cumple la meta con 219 alumnos en el nivel de BUENO en la prueba ENLACE Efecto: La UR 600 informa que continúa evaluando el logro educativo de los alumnos en el nivel medio superior. La UR 611 EFECTOS .En términos reales representa el 79.65% respecto al total de alumnos que presentaron la prueba enlace en la habilidad lectora y matemática, con esto se logró el 209.62% respecto a la meta anual programada, es decir se logró que 115,500 alumnos ubicaran su logro educativo en el nivel de dominio bueno de la prueba enlace lo cual sin duda contribuye a mejorar la igualdad de oportunidades y a su vez a disminuir la desigualdad social y en general contribuirán en generar una sociedad más justa. La 615 informa que el uso adecuado de los resultados de enlace puede convertir a esta evaluación en un potente instrumento de mejora educativa, al aportar elementos que contribuyan a establecer programas de tutorías focalizadas e implementar programas de formación y actualización de maestros, entre otras acciones. La UR B00 de acuerdo con las cifras publicadas para 2013, informa que por sexto año consecutivo, los estudiantes del Nivel Medio Superior del Instituto Politécnico Nacional, cuentan con el más alto nivel de dominio en habilidad matemática y comunicación, en comparación con el resto de las instituciones públicas y privadas y los diferentes tipos de bachillerato, a nivel nacional. La UR L3P informa, que la evaluación de las habilidades en comunicación y matemáticas, permiten a la Institución, comparase con los resultados anteriores obtenidos y detectar las oportunidades de mejora, para seguir brindando un servicio educativo de calidad y reconocido, a jóvenes que desean estudiar una carrera tecnológica en Educación Media superior, en el estado de Jalisco. Otros Motivos:</t>
    </r>
  </si>
  <si>
    <r>
      <t xml:space="preserve">Porcentaje de la matrícula de educación técnica en programas de educación de calidad en nivel medio superior
</t>
    </r>
    <r>
      <rPr>
        <sz val="10"/>
        <rFont val="Soberana Sans"/>
        <family val="2"/>
      </rPr>
      <t xml:space="preserve"> Causa : La UR B00 informa que el cumplimiento de 110.87% que se presenta entre la meta alcanzada en relación a la estimada, obedece principalmente a los esfuerzos que se han realizado para mantener y en su caso obtener el reconocimiento externo a la calidad de los programas académicos en este nivel., con esto,  en el Nivel Medio Superior el 97.79% de los estudiantes se encuentran inscritos en programas acreditados. La UR L3P informa que en el periodo que se reporta, esta meta no presenta variación, ya que  las carreras de Educación Media Superior, susceptibles de acreditación, han sido acreditadas. Cabe mencionar que en el próximo ejercicio 2014, el organismo acreditador, sólo podrá evaluar carreras de Educación Superior, sin embargo, con el inminente ingreso del CETI al Sistema Nacional de Bachillerato, se verán acreditados los dos planteles. La UR L5X informa que la variación se debe, principalmente al comportamiento registrado por la Matrícula del Colegio para el ciclo actual y al hecho de que, los programas académicos han ido perdiendo su vigencia y no han sido renovados por los Colegios Estatales correspondientes. Efecto: La UR B00 informa que el 110.87% logrado en la meta, significa que 62,225 alumnos de 63,630 de la matrícula acreditable se encuentran inscritos en programas acreditados. La UR L3P informa que la evaluación de las carreras que ofrece la Institución, le permiten garantizar a la comunidad académica y a la sociedad en general que brinda un servicio educativo de calidad y reconocido, a jóvenes de Educación Media Superior, en el estado de Jalisco. La UR L5X informa que la disminución de alumnos inscritos en planteles que operan algún programa de calidad, aunque sea en un porcentaje mínimo. Otros Motivos:</t>
    </r>
  </si>
  <si>
    <r>
      <t xml:space="preserve">Porcentaje de alumnos atendidos en educacion técnica del nivel media superior
</t>
    </r>
    <r>
      <rPr>
        <sz val="10"/>
        <rFont val="Soberana Sans"/>
        <family val="2"/>
      </rPr>
      <t xml:space="preserve"> Causa : La UR 600 informa que la diferencia entre la meta alcanzada y la programada se debe a la creciente demanda del servicio educativo del nivel medio superior, y que se contribuye a ampliar la cobertura de la educación media superior de jóvenes de entre 15 y 17 años. La 610 informa que La meta presenta una variación negativa debido a los índices de reprobación y deserción; que son propiciados por las situaciones de inseguridad y económica que enfrentan los alumnos. La UR 611 informa que se mantuvo la promoción en cada una de las entidades federativas para ingresar a los CETis y CBTis con lo cual en general se mantuvo la población estudiantil en la modalidad escolarizada. La 615 informa que la meta alumno atendido aumentó a 26,565 alumnos derivado de que se amplió la cantidad de planteles de esta Dirección General. La UR B00 informa que el cumplimiento de 107.82% que se presenta entre la meta alcanzada en relación a la estimada, obedece principalmente al incremento de 4.21% en la matrícula del nivel en el ciclo escolar 2013-2014, con respecto al ciclo escolar inmediato anterior. La UR L3P informa que la meta presenta una variación positiva de 11.68% con respecto a la meta programada, debido a que optimizó sus recursos humanos y su capacidad instalada, para ofrecer a más estudiantes, el servicio educativo en Educación Media Superior. Cabe señalar que este incremento también es el resultado de la implementación de programas para la permanencia escolar y el incremento de la eficiencia terminal. La UR L5X informa que los programas implementados en el Sistema CONALEP, tales como, alerta temprana, preceptorías, cursos de capacitación, entre otros, han permitido que el reingreso repunte el 4%, sin embargo, la reducción del 6% de alumnos de nuevo ingreso en la mayoría de los estados repercutió en la meta. Los Colegios Estatales que mantuvieron o incrementaron la matrícula son: Chiapas, Guanajuato, Hidalgo, Querétaro, Sonora y Yucatán. Efecto: La UR 600 informa que de acuerdo a lo establecido en el PROSEDU a partir del 2014 se toma como referente a los jóvenes de entre 15 y 17 años como población potencial para este indicador. La 610 informa que los jóvenes egresados tienen las posibilidades de continuar su educación superior o incorporarse al mercado laboral y de contribuir al desarrollo del país. La UR 611 informa que se logró atender a 636,806 alumnos de nivel medio superior en los CETis y CBTis en las 32 entidades federativas lo cual representa una cobertura a nivel nacional del 10.25% respecto a la demanda potencial de educación de personas entre los 16 y 18 años de edad, cabe señalar que estos 636,806 alumnos a nivel medio superior en su momento podrán contribuir al desarrollo de México. La 615 informa que al ampliar la cobertura de planteles en los litorales de la república mexicana, así como cerca de cuerpos de aguas continentales, se incrementa la posibilidad de ofertar bachillerato tecnológico a la población de esas regiones. La UR B00 informa que con los resultados obtenidos se llevaran a cabo acciones  para ampliar la cobertura. El índice de absorción de la demanda al nivel medio superior para el ciclo escolar 2013-2014 como primera opción, es cercano al 50%. La UR L3P informa que se ha impactado en el incremento de la aprobación, la promoción de estudiantes al ciclo inmediato posterior y la eficiencia terminal, así como en la disminución de la deserción, y la aplicación de programas para propiciar la permanencia escolar y la eficiencia escolar, impactan en la continuidad de los estudiantes, así como en un servicio educativo de calidad y reconocido a jóvenes de Educación Media Superior en el estado de Jalisco. La UR L5X informa que la variación de -1.15 puntos porcentuales respecto a la meta programada mantiene el nivel de participación del Colegio en la cobertura en el grupo de edad de educación media superior en el orden del 4.88. Otros Motivos:Para mayor información acerca de las causas de las variaciones entre la meta alcanzada y la meta original del indicador consultar el documento Análisis del Cumplimiento de los Indicadores para Resultados de la Secretaría de Educación Pública, correspondiente a la Cuenta de la Hacienda Pública Federal 2013. </t>
    </r>
  </si>
  <si>
    <r>
      <t xml:space="preserve">Porcentaje de programas educativos con reconocimiento externo en nivel medio superior
</t>
    </r>
    <r>
      <rPr>
        <sz val="10"/>
        <rFont val="Soberana Sans"/>
        <family val="2"/>
      </rPr>
      <t xml:space="preserve"> Causa : La UR B00 informa que En el Nivel Medio Superior el 97.79% de los estudiantes se encuentran inscritos en programas acreditados, por lo que en el Nivel Medio Superior, de 68 programas acreditables, 63 tienen el registro de acreditación, lo que significa el 92.64% del total, es decir 62,225 alumnos de 63,630 de la matrícula acreditable. La UR L3P informa en el periodo que se reporta, esta meta no presenta variación, ya que las carreras de Educación Media Superior, susceptibles de acreditación, han sido acreditadas. Cabe mencionar que en el próximo ejercicio 2014, el organismo acreditador, sólo podrá evaluar carreras de Educación Superior, sin embargo, con el inminente ingreso del CETI al Sistema Nacional de Bachillerato, se verán acreditados los dos planteles. La UR L5X informa que no obstante la disminución de Planteles con Programas Académicos Acreditados, la meta fue rebasada debido al creciente número de planteles que se incorporó al SNB. Efecto: La UR B00 informa que los efectos se traduce a 62,225 alumnos de 63,630 de la matrícula acreditable, por lo que en el Nivel Medio Superior, de 68 programas acreditables, 63 tienen el registro de acreditación, lo que significa el 92.64% del total. La UR L3P informa que la evaluación de las carreras que ofrece la Institución, le permiten garantizar a la comunidad académica y a la sociedad en general que brinda un servicio educativo de calidad y reconocido, a jóvenes de Educación Media Superior y Superior, en el estado de Jalisco. La UR L5X informa que el ipacto es que cada vez son más alumnos beneficiados, sobre todo, por el impacto que se está logrando vía la Incorporación de Planteles al SNB. Otros Motivos:</t>
    </r>
  </si>
  <si>
    <r>
      <t xml:space="preserve">Porcentaje de planteles federales de educación técnica del nivel medio superior apoyados con recursos federales presupuestales
</t>
    </r>
    <r>
      <rPr>
        <sz val="10"/>
        <rFont val="Soberana Sans"/>
        <family val="2"/>
      </rPr>
      <t xml:space="preserve"> Causa : La UR 600 informa que se cumplió la meta al 100%, con el apoyo a planteles federales de educación media superior permite que brinden oportunamente el servicio educativo. La UR 611 informa que se continuó con el apoyo presupuestal federal para los 442 centros de trabajo oficialmente registrados en la DGETI, con lo cual se logró el 100% de la meta anual programada. La 615 informa que se crearon 4 nuevos planteles: CETMAR 32 En Empalme, Sonora; CETMAR 33 En Cozumel, Quintana Roo; CETMAR 34 en Zihuatanejo, Guerrero y el CETAC 03 Irapuato, Guanajuato. La UR L3P informa que la meta no presenta variaciones con respecto a lo programado, debido a que tanto el plantel Colomos como el plantel Tonalá, fueron apoyados con recursos para sus gastos de operación, lo que le permite seguir brindando educación tecnológica de calidad a 5,026 estudiantes de Educación Media Superior, en el estado de Jalisco.  Efecto: La UR 600 informa que se cumplió la meta al 100%, con el apoyo a planteles federales de educación media superior permite que brinden oportunamente el servicio educativo. La UR 611 informa que se logró el apoyo a 442 CETis y CBTis, con lo que se proporcionara el servicio de educación tecnológica industrial a nivel medio superior, y se lo logrará atender a 636,756 alumnos, los cuales a su vez seguramente contribuirán al desarrollo de México. La 615 informa que por lo que al ampliar la cobertura de planteles en los litorales de la república mexicana, así como cerca de cuerpos de aguas continentales, se incrementa la posibilidad de ofertar bachillerato tecnológico a la población de esas regiones. La UR L3P informa el cumplimiento de esta meta, le permite a la institución seguir cumpliendo la misión para la que fue creado: formar profesionales líderes en el área tecnológica a través de la oferta de servicios educativos integrales, para la generación y aplicación de conocimientos científicos y tecnológicos, que contribuyan al desarrollo sustentable Otros Motivos:</t>
    </r>
  </si>
  <si>
    <r>
      <t xml:space="preserve">Porcentaje de académicos de tiempo completo con grado de especialidad, maestría o doctorado, con relación al total de la planta docente de tiempo completo en educación media superior
</t>
    </r>
    <r>
      <rPr>
        <sz val="10"/>
        <rFont val="Soberana Sans"/>
        <family val="2"/>
      </rPr>
      <t xml:space="preserve"> Causa : La B00 informa que el cumplimiento de 106.38% que se presenta entre la meta alcanzada en relación a la programada, se debe a la aplicación de Programas y Estímulos institucionales para la formación y actualización docente. La UR L3P informa que la meta fue cumplida al 100%, gracias a las becas institucionales que se ofrecen a los Docentes por medio de la Comisión Mixta de Capacitación y Desarrollo, la cual permite apoyar a los profesores para continuar sus estudios de maestría y doctorado. Cabe señalar que este programa no sólo beneficia a los docentes, sino que también está abierto para el personal de apoyo a la docencia. Efecto: La B00 informa, que el cumplimiento de 106.38%, generó un incremento en el número de docentes que obtuvieron un grado de especialidad, maestría o doctorado. Por lo que aumentó el personal docente con formación profesional de nivel posgrado, lo que incide en la calidad de la enseñanza que el Instituto imparte. La UR L3P informa que el cumplimiento de la meta permite la mejora de la planta Docente, ya que adquieren el grado de maestría y doctor, incrementan su nivel académico, lo que se traduce en un beneficio tanto al propio docente como a sus estudiantes, adquiriendo nuevos cocimientos, habilidades y actitudes que se ven reflejadas en su praxis. Otros Motivos:</t>
    </r>
  </si>
  <si>
    <r>
      <t xml:space="preserve">Porcentaje de documentos curriculares diseñados y actualizados
</t>
    </r>
    <r>
      <rPr>
        <sz val="10"/>
        <rFont val="Soberana Sans"/>
        <family val="2"/>
      </rPr>
      <t xml:space="preserve"> Causa : La UR L5X informa que las principales razones para no cumplir la meta son: 1) Los módulos de la oferta académica vigente correspondientes al Modelo de Calidad para la Competitividad, se diseñaron de manera secuencial durante los años 2008, 2009 y 2010. 2) En razón del proceso de diseño curricular, durante los años 2011 y 2012, se sometieron a ajustes y actualización de contenidos, con lo que se mantuvo su pertinencia para el ejercicio 2013. 3) Para el caso de los contenidos del Núcleo de Formación Básica, los módulos relacionados con el área de humanidades, conforme lo establecido en los Acuerdos Secretariales 445 y 656, se actualizaron 15 módulos del campo disciplinar de Matemáticas, Ciencias Sociales y los relacionados con las Humanidades; asimismo, 13 módulos del núcleo de formación profesional de  la carrera de PT y PT-B en Enfermería general; se diseñaron 13 módulos de la carrera de PT y PT-B en Escenotecnia y  2 módulos de  trayectos técnicos: "Caracterización y manejo de macro y micro materiales" del trayecto técnico, Aplicación de la nanotecnología y "Preparación de dulces y bebidas regionales" del Trayecto Técnico, Elaboración de gastronomía oaxaqueña. Debido a lo anterior, ya no fue pertinente la actualización de la totalidad de los documentos curriculares y se optó sólo por los  indispensables y necesarios. Efecto: Se contribuye al cumplimiento de la normatividad del campo disciplinar del área de Humanidades; a la articulación de las competencias al interior de los campos disciplinares, a la portabilidad, a la disminución de los índices de reprobación, mediante la mejora de la estructura técnico pedagógica de los documentos curriculares Otros Motivos:</t>
    </r>
  </si>
  <si>
    <r>
      <t xml:space="preserve">Porcentaje de Coordinaciones Estatales de Educación Media Superior atendidas.
</t>
    </r>
    <r>
      <rPr>
        <sz val="10"/>
        <rFont val="Soberana Sans"/>
        <family val="2"/>
      </rPr>
      <t xml:space="preserve"> Causa : Se cumplió la meta al 100%, con lo que las Coordinaciones Estatales de Educación Media Superior continuaron operando. Efecto: Porcentaje de Coordinaciones Estatales de Educación Media Superior atendidas, con lo que se cumplió el apoyo a la educación y con fortaleciendo el federalismo en Sector Educación Otros Motivos:</t>
    </r>
  </si>
  <si>
    <r>
      <t xml:space="preserve">Porcentaje de planteles federales apoyados con gastos de operación del nivel medio superior
</t>
    </r>
    <r>
      <rPr>
        <sz val="10"/>
        <rFont val="Soberana Sans"/>
        <family val="2"/>
      </rPr>
      <t xml:space="preserve"> Causa : La UR 600 informa que se cumplió la meta al 100%, con el apoyo a planteles federales de educación media superior permite que brinden oportunamente el servicio educativo. La UR 610 informa que La meta se atendió en un 100.00 por ciento. Cabe aclarar, que el apoyo se realiza exclusivamente con el pago de la nómina al personal que labora en los centros de trabajo. La UR L3P informa que la meta no presenta variaciones con respecto a lo programado, debido a que tanto el plantel Colomos como el plantel Tonalá, fueron apoyados con recursos presupuestarios lo que le permite seguir brindando educación tecnológica de calidad a 5,026 estudiantes de Educación Media Superior, en el estado de Jalisco. El L5X informa que se cumplió con la meta apoyados con recursos presupuestarios a los 33 planteles federales en educación técnica del nivel medio superior  programados. Efecto: La UR 600 informa que se cumplió la meta al 100%, con el apoyo a planteles federales de educación media superior permite que brinden oportunamente el servicio educativo. La UR 610 informa que el efecto que provoca el apoyo económico que se le da a los Centros de Trabajo que prestan servicios de educación tecnológica agropecuaria, permite que se atienda a jóvenes que requieren cursar el nivel medio superior y esto contribuye a mejorar su calidad de vida. La UR L3P informa que el cumplimiento de esta meta, le permite a la institución seguir cumpliendo la misión para la que fue creado: formar profesionales líderes en el área tecnológica a través de la oferta de servicios educativos integrales, para la generación y aplicación de conocimientos científicos y tecnológicos, que contribuyan al desarrollo sustentable. L5X informa que las actividades realizadas en torno a este indicador, el Conalep contribuye a la formación de Profesionales Técnicos Bachiller con conocimientos, aptitudes y competencias que les permite a los egresados generar oportunidades de trabajo y con ello mejorar sus condiciones de vida personales y familiares Otros Motivos:</t>
    </r>
  </si>
  <si>
    <r>
      <t xml:space="preserve">Porcentaje de recursos asignados a los planteles para gastos de operacion
</t>
    </r>
    <r>
      <rPr>
        <sz val="10"/>
        <rFont val="Soberana Sans"/>
        <family val="2"/>
      </rPr>
      <t xml:space="preserve"> Causa : La UR 600 informa que la diferencia entre la meta programada y la alcanzada, se debe a que se destinó una mayor cantidad de presupuesto para apoyar los gastos de operación de los planteles federales de educación media superior. La UR 610 informa que la diferencia positiva de la meta alcanzada contra la programada, se debió a los apoyos recibidos por parte de la Subsecretaría de Educación Media Superior y la Dirección General de Presupuesto y Recursos Financieros en los capítulos de gasto 2000 y 3000, en los rubros de eventos, servicios de lavandería, vigilancia e impresión de documentos. (No se incluyen Servicios Personales). La UR L5X informa que la variación de $58,784,364.82 (7.94%) con relación a lo programado anual corresponde básicamente al incremento salarial y a las necesidades reales de operación en planteles. Efecto: para continuar brindando el servicio educativo. La UR 610 informa que los recursos se ejercen en actividades que se desarrollan en el área central de esta Dirección General, para brindar apoyo  a los Centros de Trabajo que prestan servicios de educación tecnológica agropecuaria y forestal, permitiendo que se atienda a jóvenes que requieren cursar el nivel medio superior, contribuyendo a mejorar su calidad de vida. La UR L5X informa que no se tienen un efecto socioeconómio e impacto social relevante en el cumplimiento de metas debido a la variación en la meta respecto al Porcentaje de Recursos Otorgado. Otros Motivos:</t>
    </r>
  </si>
  <si>
    <t>E010</t>
  </si>
  <si>
    <t>Prestación de servicios de educación superior y posgrado</t>
  </si>
  <si>
    <t>A3Q-Universidad Nacional Autónoma de México</t>
  </si>
  <si>
    <t>4 - Posgrado</t>
  </si>
  <si>
    <t>6 - Educación de postgrado de calidad</t>
  </si>
  <si>
    <t>Contribuir a elevar la calidad de la enseñanza a nivel de licenciatura y posgrado, en los diversos campos científicos, tecnológicos y humanísticos, para formar profesionales que contribuyan al desarrollo nacional; mediante la impartición de programas educativos de calidad en los niveles de licenciatura y posgrado.</t>
  </si>
  <si>
    <r>
      <t>Porcentaje de alumnos atendidos en programas de calidad de los niveles de educación superior y posgrado, con respecto al total de la matrícula atendida</t>
    </r>
    <r>
      <rPr>
        <i/>
        <sz val="10"/>
        <color indexed="30"/>
        <rFont val="Soberana Sans"/>
        <family val="3"/>
      </rPr>
      <t xml:space="preserve">
Indicador Seleccionado</t>
    </r>
  </si>
  <si>
    <t>(Alumnos atendidos en programas de calidad de los niveles de educación superior y de posgrado en el año N / Total de alumnos atendidos en programas de educación superior y posgrado en el año N) * 100</t>
  </si>
  <si>
    <t>Los alumnos en licenciatura y posgrado atendidos en programas de calidad son incrementados.</t>
  </si>
  <si>
    <r>
      <t>Tasa de variación de la matrícula de calidad en licenciatura y posgrado, respecto al año anterior</t>
    </r>
    <r>
      <rPr>
        <i/>
        <sz val="10"/>
        <color indexed="30"/>
        <rFont val="Soberana Sans"/>
        <family val="3"/>
      </rPr>
      <t xml:space="preserve">
</t>
    </r>
  </si>
  <si>
    <t>(Alumnos del nivel licenciatura y posgrado atendidos en programas de calidad en el ciclo escolar N / Alumnos de nivel licenciatura y posgrado atendidos en programas de calidad en el ciclo escolar N - 1) -1 * 100</t>
  </si>
  <si>
    <t>Tasa de variación de la matrícula de calidad en licenciatura y posgrado, respecto al año anterior</t>
  </si>
  <si>
    <t>A Programas educativos de nivel licenciatura y posgrado evaluados y/o acreditados para ser reconocidos por su calidad.</t>
  </si>
  <si>
    <r>
      <t>Porcentaje de programas educativos de nivel licenciatura evaluados y/o acreditados, con respecto al total de programas educativos del nivel licenciatura impartidos evaluables y/o acreditables.</t>
    </r>
    <r>
      <rPr>
        <i/>
        <sz val="10"/>
        <color indexed="30"/>
        <rFont val="Soberana Sans"/>
        <family val="3"/>
      </rPr>
      <t xml:space="preserve">
</t>
    </r>
  </si>
  <si>
    <t>(Número de planes y programas de estudio de licenciatura evaluados o acreditados en el año N / Total de planes y programas de licenciatura impartidos evaluables en el año N) * 100</t>
  </si>
  <si>
    <t>Estratégico-Eficacia-Semestral</t>
  </si>
  <si>
    <r>
      <t xml:space="preserve">Porcentaje de programas de posgrado reconocidos por el CONACYT, con relación al total de programas de posgrado impartidos  </t>
    </r>
    <r>
      <rPr>
        <i/>
        <sz val="10"/>
        <color indexed="30"/>
        <rFont val="Soberana Sans"/>
        <family val="3"/>
      </rPr>
      <t xml:space="preserve">
</t>
    </r>
  </si>
  <si>
    <t>(Número programas de estudio de posgrado evaluados o acreditados / Total de planes y programas de posgrado impartidos) * 100</t>
  </si>
  <si>
    <t>Estratégico-Calidad-Semestral</t>
  </si>
  <si>
    <t>A 1 Planta docente de tiempo completo (TC) en educación superior, que cuenta con grado de especialidad, maestría o doctorado.</t>
  </si>
  <si>
    <r>
      <t>Porcentaje de académicos de tiempo completo con grado de especialidad, maestría o doctorado, con relación al total de la planta docente de tiempo completo en educación superior.</t>
    </r>
    <r>
      <rPr>
        <i/>
        <sz val="10"/>
        <color indexed="30"/>
        <rFont val="Soberana Sans"/>
        <family val="3"/>
      </rPr>
      <t xml:space="preserve">
</t>
    </r>
  </si>
  <si>
    <t>(Número de académicos de tiempo completo con grado de especialidad, maestría o doctorado en el semestre N / Total de académicos de tiempo completo en el semestre N) * 100</t>
  </si>
  <si>
    <t>Gestión-Eficacia-Semestral</t>
  </si>
  <si>
    <t>A 2 Proporcionar servicios de mantenimiento y adaptaciones a laboratorios y talleres de las Unidades académicas del nivel superior y posgrado del IPN</t>
  </si>
  <si>
    <r>
      <t>Porcentaje de solicitudes de mantenimiento realizadas a las unidades académicas del nivel superior y posgrado del IPN, respecto al total de solicitudes recibidas</t>
    </r>
    <r>
      <rPr>
        <i/>
        <sz val="10"/>
        <color indexed="30"/>
        <rFont val="Soberana Sans"/>
        <family val="3"/>
      </rPr>
      <t xml:space="preserve">
</t>
    </r>
  </si>
  <si>
    <t>(Total de servicios de mantenimiento proporcionados a laboratorios y talleres del nivel superior y posgrado del IPN en el año N / Total de servicios de mantenimientos a laboratorios y talleres del nivel superior y posgrado del IPN solicitados en el año N) * 100</t>
  </si>
  <si>
    <r>
      <t>Porcentaje de equipamiento a laboratorios y talleres del Nivel Superior y Posgrado, con respecto al total de laboratorios y talleres del Nivel Superior y Posgrado</t>
    </r>
    <r>
      <rPr>
        <i/>
        <sz val="10"/>
        <color indexed="30"/>
        <rFont val="Soberana Sans"/>
        <family val="3"/>
      </rPr>
      <t xml:space="preserve">
</t>
    </r>
  </si>
  <si>
    <t>(Total de laboratorios y talleres de licenciatura equipados del Nivel Superior y Posgrado del IPN en el año N / Total de Laboratorios y talleres existentes en el Nivel Superior y Posgrado del IPN en el año N) * 100</t>
  </si>
  <si>
    <t>A 3 Incorporación del Personal académico en el Padrón del Sistema Nacional de Investigadores (SNI).</t>
  </si>
  <si>
    <r>
      <t>Número de académicos inscritos al Sistema Nacional de Investigadores</t>
    </r>
    <r>
      <rPr>
        <i/>
        <sz val="10"/>
        <color indexed="30"/>
        <rFont val="Soberana Sans"/>
        <family val="3"/>
      </rPr>
      <t xml:space="preserve">
</t>
    </r>
  </si>
  <si>
    <t>Sumatoria del número de académicos inscritos al Sistema Nacional de Investigadores</t>
  </si>
  <si>
    <t>Docente</t>
  </si>
  <si>
    <t>N/A</t>
  </si>
  <si>
    <r>
      <t xml:space="preserve">Porcentaje de alumnos atendidos en programas de calidad de los niveles de educación superior y posgrado, con respecto al total de la matrícula atendida
</t>
    </r>
    <r>
      <rPr>
        <sz val="10"/>
        <rFont val="Soberana Sans"/>
        <family val="2"/>
      </rPr>
      <t xml:space="preserve"> Causa : La SEP estableció en el PP E010 en el ejercicio 2013, el indicador estratégico Porcentaje de alumnos atendidos en programas de calidad de los niveles de educación superior y posgrado, con respecto al total de la matrícula atendida, como un indicador de eficacia. Al cierre del año, se logró atender a 571,176 alumnos en programas de calidad de un total de 675,708, equivalente al 84.53%, con lo que se superó la meta original establecida, y se logró un % de cumplimiento de 113.75%. Debido que para la realización de la meta participan diversas URs, el comportamiento global del indicador se explica con la información que reporta cada una de ellas La 513 DGEST alcanzó 227,353 alumnos, de un total 276,630 alumnos atendidos. La UPN reportan 211 alumnos, lo cual incluye a la matrícula de la Maestría en Desarrollo Educativo, perteneciente al PNPC del CONACyT, y mas 64 alumnos del Doctorado en Educación. La UAM superó la meta estimada de Alumnos atendidos de los niveles de educación superior y posgrado de 40,867 y llegar a 45,914. La UNAM logró atender a 189,438 alumnos, lo que significó un % de cumplimiento de 99.43% respecto de la meta institucional programada. EN el IPN se atendieron 96,583 alumnos con lo cual alcanzó el 98.05% entre la meta institucional alcanzada en relación a la programada. El INAH se matricularon 323 alumnos, esto representa que de los 2,702 alumnos matriculados en los 3 niveles el 11.95% están inscritos en programas de calidad, de los cuales 118 son de Licenciatura y 205 de Posgrado. EL CETI atendió 2,364 alumnos. El CINVESTAV del IPN superó la meta anual de alumnos atendidos en 2.45%, con lo cual se atendieron 3,391 alumnos, lo que representa 81 alumnos más de la meta programada. El Colegio de México, A. C. atendió a 3399 alumnos. La Universidad Autónoma Agraria Antonio Narro señala un cumplimiento conforme a lo programado al alcanzar la atención de 5,200 alumnos. Efecto: Los beneficios económicos y sociales alcanzados con este indicador de fin, contribuyeron a: La DGEST señala que la meta influye en una mayor contratación de los jóvenes egresados al sector productivo. La UPN comenta que sus objetivos primordiales es atender a un mayor número de alumnos en programas de calidad. Al contar con el reconocimiento, de CIEES o del CONACyT. La UAM refiere que formar profesionales e investigadores de alta calidad. Y Mayor competitividad de los egresados en el mercado laboral nacional e internacional. La UNAM menciona que se contribuye en la impartición de la enseñanza a nivel de licenciatura y posgrado, en los campos científicos, tecnológicos y humanísticos, así como formar académicos y profesionales en los niveles de maestría y doctorado. EL IPN comenta que en el Nivel Superior los estudiantes se encuentran inscritos en programas académicos acreditados y, en el Nivel Posgrado los estudiantes se encuentran inscritos en programas registrados en el PNPC. El INAH comenta que aumentó el número de alumnos en programas de calidad. EL CETI señala que la evaluación de las carreras que ofrece la Institución, le permite garantizar a la comunidad académica y a la sociedad en general que brinda un servicio educativo de calidad y reconocido, a jóvenes de Educación Superior, en el estado de Jalisco. El CINVESTAV del IPN comenta que se contribuye a elevar la calidad de la educación, mediante la impartición de servicios de educación de posgrado de calidad, y coadyuva a lograr el acceso a la comunidad científica, de recursos humanos del más alto nivel académico. El Colegio de México, A. C., refiere un efecto positivo, lo que permite una mayor cobertura educativa de calidad. La U. A. Agraria Antonio Narro ofrece programas de calidad en sus 20 especialidades de Licenciatura y 12 programas de nivel Posgrado Otros Motivos:Para mayor información acerca de las causas de las variaciones entre la meta alcanzada y la meta original del indicador consultar el documento Análisis del Cumplimiento de los Indicadores para Resultados de la Secretaría de Educación Pública, correspondiente a la Cuenta de la Hacienda Pública Federal 2013. </t>
    </r>
  </si>
  <si>
    <r>
      <t xml:space="preserve">Tasa de variación de la matrícula de calidad en licenciatura y posgrado, respecto al año anterior
</t>
    </r>
    <r>
      <rPr>
        <sz val="10"/>
        <rFont val="Soberana Sans"/>
        <family val="2"/>
      </rPr>
      <t xml:space="preserve"> Causa : Debido a que el indicador tiene una meta modificada con signo negativo, para el cálculo del porcentaje de cumplimiento se aplicaron las fórmulas siguientes: (Numerador de la Meta Alcanzada/ Numerador de la Meta Aprobada) X 100 y (Numerador de la Meta Alcanzada/ Numerador de la Meta Modificada) X 100.           En el resultado alcanzado participan las siguientes unidades responsables: 513 se rebasó lo programado debido al impulso de las evaluaciones durante el primer semestre por parte de los CIEES y la COPAES; A2M: reporta 45,914 alumnos inscritos en programas de calidad, con lo cual supera su meta para 2013; A3Q incremento de la matrícula en programas de calidad de 4.89 % (equivalente a 189,438 alumnos atendidos; B00 reporta un cumplimiento de 98.05% debido a que tres programas académicos del nivel superior llegaron a la vigencia de su acreditación y actualmente se encuentran en proceso de re acreditación; D00: Se registró un incremento de 18.75%, respecto de lo  alcanzado el año anterior (272). L3P: En el periodo que se reporta, tiene una variación positiva de 24.42%, debido a que en ambos turnos en el plantel Colomos y el incremento de la oferta educativa con dos nuevas carreras. L4J: Este Centro de Investigación superó la meta anual de alumnos atendidos en 2.45%, lo que representa 81 alumnos más, lo que representa el 1.71% de crecimiento, todo esto aunado a la alta calidad de los investigadores que conforman la planta académica del Cinvestav, y a los programas que se encuentran registrados en Padrón Nacional de Posgrados de Calidad (PNPC) del Conacyt. L8K: Cumplimiento de la meta se debió a un considerable incremento de alumnos atendidos al inicio del ciclo escolar en 7 promociones académicas de nivel posgrado en el segundo semestre del año 2013. MGH: No existe variación en la meta programada al lograr la matricula tanto en licenciatura como en posgrado de 5,200 alumnos. Efecto: 513: Se rebaso lo programado debido al impulso de las evaluaciones durante el primer semestre por los CIEES y la COPAES . A2M: Los efectos socioecómicos del nivel propósito son los siguientes: I. Formar una mayor cantidad de profesionales e investigadores en programas de calidad.  II. Ampliar la cobertura de la demanda de educación en estos niveles. A3Q: Los beneficios económicos y sociales alcanzados con este indicador de propósito, permitieron ofrecer un mejor servicio a través de la impartición de la enseñanza con programas de calidad a nivel de licenciatura y posgrado, en los diversos campos (científicos, tecnológicos y humanísticos). B00: En el Nivel Superior el 97.78% de los estudiantes se encuentran inscritos en programas académicos acreditados, es decir 91,885 alumnos del total de la matrícula que asciende a 93,967 estudiantes; mientras que, en el Nivel Posgrado el 69.76% de los estudiantes se encuentran inscritos en programas registrados en el PNPC, es decir 4,698 alumnos del  total de la matrícula que asciende a  6,735 estudiantes. D00: Aumento en el número de alumnos matriculados en programas de calidad. L3P: La diversificación de las carreras que ofrece la Institución,  le permiten garantizar a la comunidad académica y a la sociedad en general que brinda un servicio educativo de calidad y pertinente, a jóvenes de Educación Media Superior y Superior, en el estado de Jalisco. L4J: La variación de 2.47 puntos (0.91 menos 3.38, corresponden al indicador programado; en tanto, el indicador con la consideración del universo de cobertura modificado, es de 1.71 de crecimiento real. L8K: Tiene un efecto positivo en un 7.26% al comparar 372 alumnos atendidos en el segundo semestre de 2012 contra 399 alumnos atendidos durante el segundo semestre de 2013, MGH: Se ofrece educación agrícola superior a jóvenes provenientes de los 32 estados del país, sobresaliendo en entidades como Chiapas, Coahuila, Oaxaca, Guanajuato, Estado de México, Puebla, Veracruz, Morelos. Otros Motivos:</t>
    </r>
  </si>
  <si>
    <r>
      <t xml:space="preserve">Porcentaje de programas educativos de nivel licenciatura evaluados y/o acreditados, con respecto al total de programas educativos del nivel licenciatura impartidos evaluables y/o acreditables.
</t>
    </r>
    <r>
      <rPr>
        <sz val="10"/>
        <rFont val="Soberana Sans"/>
        <family val="2"/>
      </rPr>
      <t xml:space="preserve"> Causa : 513: A pesar de que no existió evaluaciones de los CIEES durante el último semestre el rezago de los dictámenes se reflejarón el último trimestre del año impactando positivamente en el resultado de la meta. A2M: se cumplió con eficiencia ya que el porcentaje de cumplimiento de la meta alcanzada (80.00%) respecto de la meta programada para el 2013 (80.33%) quedó en más de 99 por ciento. A3Q: El porcentaje programado de este indicador fue de 85.07 por ciento (equivalente a 114 planes y programas acreditados con respecto de 134 planes y programas de estudio en el nivel de licenciatura impartidos evaluables y/o acreditables en el año 2013), logrando al cierre del ejercicio un porcentaje de 75.00 por ciento (equivalente a 114 planes y programas acreditados con respecto de 152 planes y programas de estudio en el nivel de licenciatura impartidos evaluables y/o acreditables en el año 2013), lo que significó un porcentaje de cumplimiento de 88.16 por ciento. B00: El cumplimiento de 101.64% que se presenta entre la meta alcanzada en relación a la programada, D00: Sigue vigente la evaluación y acreditación del Programa de Estudios de la Licenciatura de Restauración en la Escuela Nacional de Conservación, Restauración y Museografía(ENCRyM. L3P: En el periodo que se reporta, esta meta presenta una variación, ya que las carreras de Educación Superior, susceptibles de acreditación, han sido acreditadas, sin embargo, es importante mencionar que la matricula en este nivel educativo, se ha incrementado, derivado de las acciones para optimizar los recursos, ofrecer Educación Superior en ambos turnos en el plantel Colomos y el incremento de la oferta educativa con dos nuevas carreras. L8K: NO EXISTEN VARIACIONES. La institución cumple sus objetivos debido a la calidad y permanencia de los programas del nivel licenciatura que imparte la institución.   MGH: No existe variación en la meta programada al mantener 32 programas educativos de calidad    Efecto: 513: El impulso de un mayor número de jovenes en programas considesados de buena calidad. A2M: Los efectos socioeconómicos del nivel fin son los siguientes:  I. Formar profesionales e investigadores de alta calidad  II. Mayor competitividad de los egresados en el mercado laboral nacional e internacional. A3Q: Los beneficios alcanzados con este indicador de componente, permitieron brindar a la población estudiantil de nivel licenciatura planes y programas educativos de calidad. B00: El 95.38% de la oferta educativa en el Nivel Superior, cuenta con reconocimiento externo, es decir, 62 de los 65 programas susceptibles de acreditación. D00: Mejoramiento de los programas de estudio impartidos. L3P: La evaluación de las carreras que ofrece la Institución en Educación Superior, le permiten garantizar a la comunidad académica y a la sociedad en general que brinda un servicio educativo de calidad y reconocido, a jóvenes de Educación Media Superior y Superior, en el estado de Jalisco. L8K: El contar con los programas de estudio del nivel licenciatura actualizados tiene un impacto positivo, toda vez que esta casa de estudios tiene por objetivo el formar recursos humanos de excelencia académica, los cuales en su totalidad son evaluados y acreditados por las autoridades de calidad correspondientes. MGH: La Universidad ofrece programas educativos de calidad. Otros Motivos:</t>
    </r>
  </si>
  <si>
    <r>
      <t xml:space="preserve">Porcentaje de programas de posgrado reconocidos por el CONACYT, con relación al total de programas de posgrado impartidos  
</t>
    </r>
    <r>
      <rPr>
        <sz val="10"/>
        <rFont val="Soberana Sans"/>
        <family val="2"/>
      </rPr>
      <t xml:space="preserve"> Causa : 513: Se superó la meta establecida derivado al impulso de posgrados de calidad. A00: El indicador no presenta variaciones respecto a la meta reprogramada. A2M: se cumplió con eficacia ya que el cumplimiento de la meta alcanzada (78.02%) respecto de la meta programada (67.78%) quedó por arriba del 100 por ciento. A3Q: la UNAM contó con el indicador estratégico "Porcentaje de programas  educativos en el nivel de posgrado reconocidos por el CONACYT El porcentaje programado fue de 85.54 por ciento (equivalente a 71 planes y programas de estudio evaluados o acreditados con respecto de 83 programas educativos en el nivel de posgrado impartidos); al cierre del año el porcentaje alcanzado fue de 78.89 por ciento (equivalente a 71 planes y programas de estudio evaluados o acreditados con respecto de 90 programas educativos en el nivel de posgrado impartidos), lo que significó un porcentaje de cumplimiento del indicador de 92.22 por ciento respecto de la meta original. B00: El cumplimiento de 104.71% que se presenta entre la meta alcanzada en relación a la programada, se debe principalmente al ingreso al PNPC de la Maestría en Gestión de Proyectos para el Desarrollo Solidario impartida en el CIIDIR Oaxaca; la Maestría en Tecnología Productiva impartida en el CIBA Tlaxcala; la Especialidad en Tecnología Avanzada impartida en el CICATA Querétaro; y la Maestría en Ingeniería de Sistemas impartida en la ESIME Zacatenco. D00: Durante el año se evaluaron 3 programas de Posgrado de la ENAH, los cuales fueron: ¿ Maestría en Antropología Social  ¿ Maestría  en Arqueología ¿ Doctorado en Antropología Social  L4J: Este Centro de Investigación, superó la meta anual programada con 2 programas más evaluados externamente, registrados en el Padrón Nacional de Posgrados de Calidad del Conacyt (PNPC), lo que representa el 3.39%, por encima de la meta Efecto: 513: Un mayor número de profesores de tiempo copleto vinculado a las necesidades de los sectores productivos y sociales en la regió así como un mayor npumero de estudiantes con alto impacto en las investigaciones aplicada. A00: Lograr que todos los programas de posgrado que ofrece nuestra casa de estudios tengan reconocimiento por su calidad, A2M: Los efectos socioeconómicos del nivel componente son los siguientes:  I. Formar profesionales e investigadores de alta calidad en programas evaluados por el Programa Nacional de Posgrados de Calidad(PNPC).  II.Mayor competitividad de los egresados en los mercados laborales nacionales e internacionales  III. Incrementa la posibilidad de que un alumno concluya con éxito su posgrado por el apoyo económico que se otorga el ser reconocido como un "Programa de buena calidad A3Q: Los beneficios alcanzados con este indicador de componente, permitieron brindar a la población estudiantil de nivel posgrado (especialidad, maestría y doctorado) planes y programas educativos de calidad, coadyuvando con ello en ofrecer a la población estudiantil un mejor servicio. B00: El 61.38% de los programas académicos de Posgrado, cuentan con registro en el PNPC. Es decir, 89 de 145 programas ofertados. D00:  Mejoramiento de los programas de estudio impartidos. L4J: Otras explicaciones a las variaciones, cuando se trate de resultados por encima del 100 por ciento de cumplimiento. Los beneficios económicos y sociales alcanzados con este indicador establecen que el Cinvestav amplió su capacidad de aportar a la comunidad científica y a la sociedad en general, recursos humanos del más alto nivel académico, al contar con 27 programas de posgrado clasificados como ¿competentes a nivel internacional, 44% de sus 61 programas de posgrados registrados en el Padrón Nacional de Posgrados de Calidad del Conacyt (PNPC), con lo cual el Cinvestav se mantiene como Institución de Competencia Internacional Otros Motivos:</t>
    </r>
  </si>
  <si>
    <r>
      <t xml:space="preserve">Porcentaje de académicos de tiempo completo con grado de especialidad, maestría o doctorado, con relación al total de la planta docente de tiempo completo en educación superior.
</t>
    </r>
    <r>
      <rPr>
        <sz val="10"/>
        <rFont val="Soberana Sans"/>
        <family val="2"/>
      </rPr>
      <t xml:space="preserve"> Causa : 513: Los resultados de terminación de estudios de posgrado se tendrán en el primer trimestre del 2014. A00: El indicador se supera con menos de un punto porcentual, debido a que un profesor logró obtener su título a nivel de posgrado. A2M: El indicador de gestión: se cumplió la meta alcanzada 86.25% respecto de la meta reprogramada superó el 100 %. Un mayor número de profesores se han beneficiado con el PROMEP para estudios de posgrado y beca para redacción de Tesis así como por becas otorgadas por el CONACyT lo cual ha permitido que un número de profesores alcancen un nivel de posgrado.  A3Q: La UNAM en meta programada fue contar con una plantilla con estudios de posgrado de 91.21 % (equivalente a  5,904 académicos de TC con grado de especialidad, maestría o doctorado en el semestre con respecto de 6,473 académicos de TC en el semestre la meta alcanzada fue de 90.91 %, cifra menor a la programada con un cumplimiento del indicador de 99.67 por ciento. B00: El cumplimiento de 109.02%, se debe a la aplicación de Programas y Estímulos institucionales para la formación y actualización docente, D00: En cuanto a pertinencia 101 profesores de TC cuentan con grado de especialidad, Maestría o Doctorado. De los cuales 62 corresponden a la ENAH, 26 a la ENCRyM, y 13 a la EAHNM. Por lo que 182 profesores de TC en las 3 escuelas del  INAH el 55.49% son pertinentes. L3P: La meta fue cumplida al 100%, gracias a las becas institucionales que se ofrecen a los Docentes por medio de la Comisión Mixta de Capacitación y Desarrollo. L4J: reportó el cumplimiento del 98.64% con respecto a la meta anual programada, lo que representa 654 académicos con grado de Doctor en Ciencias; 9 investigadores menos a la meta anual. la meta programada consideraba un universo de cobertura de 666 investigadores como planta académica, el total de investigadores en 2013 son 659. Con estas consideraciones el resultado del indicador se mantiene con el 99.24 % Efecto: 513: Incrementar la calidad académica con un mayor número de profesores de TC con estudios de posgrado que impactan en nuestros jóvenes en investigaciones con mayores perfiles deseables, consolidación de cuerpos académicos e incremento de profesores investigadores en el sistema nacional de investigadores. A00: Contar con una planta académica de alto nivel es uno de los objetivos de la universidad. A2M: Los efectos socioeconómicos del nivel actividad son los siguientes:  I. Adquisición y actualización de nuevos conocimientos e incorporación de los mismos a la práctica docente y a las actividades de investigación. A3Q: Los beneficios económicos y sociales alcanzados con este indicador de actividad, contribuyeron en la impartición de un servicio de calidad en la enseñanza a través de una plantilla de docentes mejor capacitada y de alto nivel competitivo. Logrando con ello proporcionar un servicio de calidad educativa en el nivel superior y posgrado. B00: Aumento en el personal docente con formación profesional de nivel posgrado, lo que incide en la calidad de la enseñanza que el Instituto imparte. D00: Profesores con mayor nivel de especialización para la  impartición de las clases. L3P: El cumplimiento de la meta permite la mejora de la planta Docente, ya que adquieren el grado de maestría y doctor, incrementan su nivel académico, L4J: Incumplimiento o retraso en los trámites para el ejercicio presupuestario por parte de instancias gubernamentales diferentes a la UR.  Con el avance en las actividades realizadas a través de este indicador, se logra que el 99.24% de los investigadores del Cinvestav cuente con el grado académico de Doctor en Ciencias, con lo cual se fortalece la calidad de los programas de posgrado Otros Motivos:</t>
    </r>
  </si>
  <si>
    <r>
      <t xml:space="preserve">Porcentaje de solicitudes de mantenimiento realizadas a las unidades académicas del nivel superior y posgrado del IPN, respecto al total de solicitudes recibidas
</t>
    </r>
    <r>
      <rPr>
        <sz val="10"/>
        <rFont val="Soberana Sans"/>
        <family val="2"/>
      </rPr>
      <t xml:space="preserve"> Causa : L6H: - Se superó la meta programada, porque los servicios de mantenimiento se concluyeron en el tiempo establecido, lo que permitió obtener ahorros y economía y programar nuevas necesidades, solicitadas por las diferentes Unidades Académicas. Efecto: L6H: - El haber superado las metas incide directamente en la posibilidad de garantizar que los estudiantes del IPN cuenten con una mayor cantidad de equipos en Laboratorios en óptimas condiciones en los cuales puedan realizar prácticas e investigaciones académicas que les permitan obtener las competencias necesarias en su preparación. Otros Motivos:</t>
    </r>
  </si>
  <si>
    <r>
      <t xml:space="preserve">Porcentaje de equipamiento a laboratorios y talleres del Nivel Superior y Posgrado, con respecto al total de laboratorios y talleres del Nivel Superior y Posgrado
</t>
    </r>
    <r>
      <rPr>
        <sz val="10"/>
        <rFont val="Soberana Sans"/>
        <family val="2"/>
      </rPr>
      <t xml:space="preserve"> Causa : L6H: - Se superó la meta anual programada, derivado del proyecto institucional, la explicación se debe a mayor incremento de Unidades, mayor incremento de equipamiento en los espacios dedicados al proceso enseñanza-aprendizaje.           Efecto: L6H: - El impacto socioeconómico, se mide directamente, con más alumnos beneficiados, en el proceso enseñanza-aprendizaje, al contar con espacios equipados con tecnologías de la información y las comunicaciones.           Otros Motivos:</t>
    </r>
  </si>
  <si>
    <r>
      <t xml:space="preserve">Número de académicos inscritos al Sistema Nacional de Investigadores
</t>
    </r>
    <r>
      <rPr>
        <sz val="10"/>
        <rFont val="Soberana Sans"/>
        <family val="2"/>
      </rPr>
      <t xml:space="preserve"> Causa : 513: Se logró la meta al cierre del 2013, mas sin embargo se disminuyó el número de SNIs por falta de apoyo en recursos para investigación y publicaciones. A00: Al cierre de 2013, la meta se supera en un 2% contando con un académico menos que en los primeros dos trimestres del año, debido a que no renovó su inscripción en el Sistema Nacional de Investigadores del CONACyT. A2M: El indicador de gestión: es de más del 100 %, esto como resultado del siguiente factor:  I. Se ha fomentado el trabajo en conjunto a través de Cuerpos Académicos y Áreas de Investigación  A3Q: La meta programada fue de 3,624 académicos incorporados; al cierre del año la meta alcanzada fue de 3,733 académicos inscritos en el padrón del SNI del CONACyT, lo que significó un porcentaje de cumplimiento de 103.01 % respecto de la meta original. B00: El cumplimiento de 112.32% que se presenta entre la meta alcanzada en relación a la programada, se debe a los resultados obtenidos en el proceso normal de incorporación al SNI D00: Se tienen registrados SNI a 29 profesores de tiempo completo, 25 corresponden a la ENAH, 3 a la EAHNM, 1 a la ENCRyM. L3P: La meta fue cumplida al 100% de acuerdo a lo programado, ya que 2 docentes del CETI, se encuentran registrados en el SNI. Cabe señalar que la planta de investigadores es de 5, sin embargo, 3 de ellos ya fueron registrados por otra institución.  L4J: programó como  meta anual 582 investigadores inscritos en el S.N.I.  Al cierre del año, la meta alcanzada fue de 577 investigadores, lo que significó quedar por debajo de la meta original en 0.86 por ciento   Efecto: 513: Un mayor número de profesores de tiempo completo investigadores y estudiantes relacionados con el sector productivo y social. A00: promueve la incorporación de sus académicos al SNI como una forma de posicionarse entre las instituciones públicas de alto nivel académico. A2M: Los efectos socieconómicos del nivel actividad son los siguientes:  I. Mayor particpación en eventos de colaboración con los sectores productivos, sociales y gubernamentales.  II. Propicia el estímulo en la generación de patentes A3Q: Los beneficios económicos y sociales alcanzados con este indicador de actividad, permitieron brindar un mejor servicio a través de una plantilla de investigadores mejor capacitada y con alto perfil científico, tecnológico y humanístico, B00: El número de investigadores politécnicos adscritos al SNI continúa creciendo y ubicándose en niveles más calificados, por lo que el IPN ocupa el tercer lugar a nivel nacional, después de la UNAM y la UAM, por la cantidad de académicos en dicho sistema. D00: Promoción  y fortalecimiento, de la calidad de la investigación científica y tecnológica, y la innovación que se produce en el país. L3P: Contar con Docentes que estén inscritos en el SNI, permiten a los estudiantes de Educación Superior del CETI, tener un acercamiento a proyectos de investigación en los que pueden ser colaboradores y formarse como futuros investigadores. L4J: la planta académica del Cinvestav es madura y productiva con líderes en muchas disciplinas, y simboliza la calidad y prestigio de las contribuciones científicas de la planta académica como un elemento fundamental para incrementar la cultura, productividad y el bienestar social. Con los resultados obtenidos en este indicador demuestra que el 87.56 del total de investigadores (659) pertenece al S.N.I; fortaleciendo así, la calidad de la oferta educativa de los programas de posgrado que se imparte en el Cinvestav, así como a la formación de recursos humanos del más alto nivel académico Otros Motivos:</t>
    </r>
  </si>
  <si>
    <t>E011</t>
  </si>
  <si>
    <t>Impulso al desarrollo de la cultura</t>
  </si>
  <si>
    <t>H00-Consejo Nacional para la Cultura y las Artes</t>
  </si>
  <si>
    <t>4 - Recreación, Cultura y Otras Manifestaciones Sociales</t>
  </si>
  <si>
    <t>2 - Cultura</t>
  </si>
  <si>
    <t>8 - Fomento y promoción de la cultura</t>
  </si>
  <si>
    <t>Contribuir a que los mexicanos accedan y participen en las manifestaciones artísticas y del patrimonio cultural e histórico, mediante la educación, fomento y producción de servicios culturales</t>
  </si>
  <si>
    <r>
      <t>Porcentaje de población beneficiaria de las actividades artísticas y culturales respecto de la población nacional.</t>
    </r>
    <r>
      <rPr>
        <i/>
        <sz val="10"/>
        <color indexed="30"/>
        <rFont val="Soberana Sans"/>
        <family val="3"/>
      </rPr>
      <t xml:space="preserve">
</t>
    </r>
  </si>
  <si>
    <t>(Número de beneficiarios de las actividades artísticas y culturales en el año n / Cifra vigente de la población de Consejo Nacional de Población -Instituto Nacional de Estadística y Geografía del año n) X100</t>
  </si>
  <si>
    <t>El público incrementa su asistencia a eventos artísticos y culturales</t>
  </si>
  <si>
    <r>
      <t>Tasa de variación de asistentes a eventos artísticos y culturales</t>
    </r>
    <r>
      <rPr>
        <i/>
        <sz val="10"/>
        <color indexed="30"/>
        <rFont val="Soberana Sans"/>
        <family val="3"/>
      </rPr>
      <t xml:space="preserve">
Indicador Seleccionado</t>
    </r>
  </si>
  <si>
    <t>((Número de asistentes a eventos artísticos y culturales del año n / Número de asistentes a eventos artísticos y culturales del año n-1)-1 ) X 100</t>
  </si>
  <si>
    <t>Tasa de variación</t>
  </si>
  <si>
    <t>A Tiraje de títulos editados y coeditados</t>
  </si>
  <si>
    <r>
      <t>Tasa de variación del tiraje de los títulos editados y coeditados en materia artística o cultural</t>
    </r>
    <r>
      <rPr>
        <i/>
        <sz val="10"/>
        <color indexed="30"/>
        <rFont val="Soberana Sans"/>
        <family val="3"/>
      </rPr>
      <t xml:space="preserve">
</t>
    </r>
  </si>
  <si>
    <t>((Tiraje de titulos editados y coeditados en materia artística y cultural del año n / Tiraje de titulos editados y coeditados en materia artística y cultural del año n-1)-1) X 100</t>
  </si>
  <si>
    <t>B Actividades artísticas culturales realizadas y recibidas por la población en general</t>
  </si>
  <si>
    <r>
      <t>Tasa de crecimiento de actividades artísticas y culturales realizadas</t>
    </r>
    <r>
      <rPr>
        <i/>
        <sz val="10"/>
        <color indexed="30"/>
        <rFont val="Soberana Sans"/>
        <family val="3"/>
      </rPr>
      <t xml:space="preserve">
</t>
    </r>
  </si>
  <si>
    <t xml:space="preserve">((Número de actividades artístico culturales realizadas en el año n / Número de actividades artístico culturales realizadas en el año n-1)-1 X 100 </t>
  </si>
  <si>
    <t>C Población formada y/o capacitada en materia artística o cultural</t>
  </si>
  <si>
    <r>
      <t>Tasa de crecimiento de la población formada y/o capacitada en materia artística o cultural</t>
    </r>
    <r>
      <rPr>
        <i/>
        <sz val="10"/>
        <color indexed="30"/>
        <rFont val="Soberana Sans"/>
        <family val="3"/>
      </rPr>
      <t xml:space="preserve">
</t>
    </r>
  </si>
  <si>
    <t>((Población formada y/o capacitada en materia artística y/o cultural de forma escolarizada y no escolarizada del año n / Población formada y/o capacitada en materia artística y/o cultural de forma escolarizada y no escolarizada del año n-1) -1 )X 100</t>
  </si>
  <si>
    <t>A 1 Edición de títulos culturales</t>
  </si>
  <si>
    <r>
      <t>Tasa de crecimiento de titulos culturales editados respecto del año anterior</t>
    </r>
    <r>
      <rPr>
        <i/>
        <sz val="10"/>
        <color indexed="30"/>
        <rFont val="Soberana Sans"/>
        <family val="3"/>
      </rPr>
      <t xml:space="preserve">
</t>
    </r>
  </si>
  <si>
    <t>((Titulos culturales editados en el año n / Titulos culturales editados en el año n-1) -1) X 100</t>
  </si>
  <si>
    <t>B 2 Acciones de promoción y fomento del desarrollo cultural</t>
  </si>
  <si>
    <r>
      <t>Tasa de crecimiento de las acciones de promoción y fomento del desarrollo cultural en relación con el año anterior</t>
    </r>
    <r>
      <rPr>
        <i/>
        <sz val="10"/>
        <color indexed="30"/>
        <rFont val="Soberana Sans"/>
        <family val="3"/>
      </rPr>
      <t xml:space="preserve">
</t>
    </r>
  </si>
  <si>
    <t>((Actividades de promoción y fomento publicados o realizados en el año n / Actividades de promoción y fomento publicados o realizados en el año n-1) -1 X 100</t>
  </si>
  <si>
    <t>B 3 Producciones artísticas y culturales realizadas y recibidas por la población en general</t>
  </si>
  <si>
    <r>
      <t>Tasa de crecimiento de producciones artísticas y culturales realizadas</t>
    </r>
    <r>
      <rPr>
        <i/>
        <sz val="10"/>
        <color indexed="30"/>
        <rFont val="Soberana Sans"/>
        <family val="3"/>
      </rPr>
      <t xml:space="preserve">
</t>
    </r>
  </si>
  <si>
    <t>((Número de producciones artístico culturales realizadas en el año n / Número de producciones artístico culturales realizadas en el año n-1)-1) x 100</t>
  </si>
  <si>
    <t>C 4 Apoyos otorgados para la formación artística y cultural</t>
  </si>
  <si>
    <r>
      <t>Tasa de crecimiento de apoyos otorgados en el ámbito cultural</t>
    </r>
    <r>
      <rPr>
        <i/>
        <sz val="10"/>
        <color indexed="30"/>
        <rFont val="Soberana Sans"/>
        <family val="3"/>
      </rPr>
      <t xml:space="preserve">
</t>
    </r>
  </si>
  <si>
    <t>((Número de apoyos otorgados en el ámbito cultural en el año n / Número de apoyos otorgados en el año n-1) -1) x 100</t>
  </si>
  <si>
    <r>
      <t xml:space="preserve">Porcentaje de población beneficiaria de las actividades artísticas y culturales respecto de la población nacional.
</t>
    </r>
    <r>
      <rPr>
        <sz val="10"/>
        <rFont val="Soberana Sans"/>
        <family val="2"/>
      </rPr>
      <t xml:space="preserve"> Causa : Para la realización de la meta participan diversas unidades responsables, el comportamiento del indicador es global y se explica con la información que reporta cada una de ellas:    UAM. alcanzó su meta programada gracias a que se llevó a cabo una campaña de divulgación de los eventos artísticos y culturales, incremento y diversificación de dichos eventos, así como un mayor interés por parte de la población respecto a los temas presentados.    UNAM. alcanzó un 91.54% respecto de la meta original, debido a que si bien se incrementó el número de eventos artístico culturales en este año, la mayoría de éstos en esta ocasión se realizaron en recintos de poco aforo.    INAH. superó la meta debido al incremento de visitantes nacionales y extranjeros a los recintos culturales en los periodos de vacaciones. Destacando por su asistencia: Museo Nacional de Historia, Museo Nacional de Antropología y las zonas arqueológicas de Teotihuacán, Chichén Itzá y Tulum. INBAL. superó la meta porque se presentaron exposiciones en circuitos exteriores como el Bosque de Chapultepec y el Sistema de Transporte Colectivo ¿Metro¿ y eventos en recintos externos, en un afán de llevar la presencia institucional a la población por todos los medios posibles.    CONACULTA. logró un incremento en la cobertura debido a que las actividades que se presentaron fueron atractivas. Destacaron por su asistencia espacios culturales como el CENART y la Biblioteca Vasconcelos. Al interior de la República se llevaron a cabo diversos festivales y Ferias del Libro. Se incrementaron las acciones de promoción cultural por Internet. Se impulsaron otros proyectos como el programa "El Cenart sale a la calle" y las visitas guiadas temáticas y talleres infantiles de introducción a las artes.    INEHRM. superó la meta anual debido principalmente a la difusión y divulgación que se hizo de las actividades artísticas culturales que realiza el Instituto.    CECUT. Se logró la meta programada, no se tuvieron variaciones. Efecto: UAM: Ampliar y diversificar la oferta de eventos culturales hacia la comunidad de la Institución y al público en general y dar a conocer y difundir las expresiones artísticas y culturales propias y de otros países.    UNAM. Contribuir al desarrollo de la población estudiantil y en general través de la educación, fomento y producción de servicios culturales y artísticos que les permita el acceso a la participación en las manifestaciones artísticas y del patrimonio cultural e histórico.    INAH. Contribuir a que un mayor de número de Mexicanos disfruten del patrimonio cultural del país.    INBAL. Llevar la cultura y las artes a un mayor número de personas, como parte de su formación integral.    CONACULTA. Avances para fomentar y apoyar la cultura lo que suma grandes aportaciones, actuales y potenciales, al desarrollo político, educativo, social y económico de México. Reducir la brecha entre quienes tienen a su alcance la diversidad de los recursos, medios y servicios culturales y quienes tienen oportunidades significativamente menores o nulas. Apertura, con cauces y lineamientos claros y una acción coordinada, a la participación de los distintos sectores de la sociedad, concebida como un derecho y, al mismo tiempo, como una necesidad imperiosa del desarrollo cultural del país.    INEHRM. Hay un mayor impacto social por el número de población atendida.    CECUT. Que la población en general y, en particular la escolar y los sectores menos favorecidos tuvieran acceso a las manifestaciones artístico-culturales ofrecidas por la entidad, contribuyendo así a su formación integral. Otros Motivos:</t>
    </r>
  </si>
  <si>
    <r>
      <t xml:space="preserve">Tasa de variación de asistentes a eventos artísticos y culturales
</t>
    </r>
    <r>
      <rPr>
        <sz val="10"/>
        <rFont val="Soberana Sans"/>
        <family val="2"/>
      </rPr>
      <t xml:space="preserve"> Causa : Para la realización de la meta participan diversas unidades responsables, el comportamiento del indicador es global y se explica con la información que reporta cada una de ellas:  . La UAM alcanzó su meta programada gracias a que se llevó a cabo una campaña de divulgación de los eventos artísticos y culturales, incremento y diversificación de dichos eventos, así como un mayor interés por parte de la población respecto a los temas presentados.  .  La UNAM presentó una tasa de variación negativa de 8.46% con respecto del año 2012, ya que un grupo de exposiciones de gran impacto son bienales.  .  El INAH superó la meta debido al incremento de visitantes nacionales y extranjeros a los recintos culturales en los periodos de vacaciones. Destacando por su asistencia: Museo Nacional de Historia, Museo Nacional de Antropología y las zonas arqueológicas de Teotihuacán, Chichén Itzá y Tulum. El INBAL alcanzó un 30.2 % de incremento de asistencia a sus eventos, debido a que se tuvo la oportunidad de presentar exposiciones en circuitos exteriores como el Bosque de Chapultepec, el Metro, así como en otros recintos externos.  .  CONACULTA logró un incremento en la asistencia a eventos del 28.96% debido a que las actividades que se presentaron fueron atractivas para una mayor cantidad de personas. Destacaron por su asistencia espacios culturales como el CENART y la Biblioteca Vasconcelos. Al interior de la República se llevaron a cabo diversos festivales y Ferias del Libro. Se incrementaron las acciones de promoción cultural por Internet. Se impulsaron otros proyectos como el programa "El Cenart sale a la calle" y las visitas guiadas temáticas y talleres infantiles de introducción a las artes.  .   El INEHRM superó la meta anual en un 56.30% debido principalmente a la difusión y divulgación que se hizo de las actividades artísticas culturales que realiza el Instituto.  .   El CECUT indicó que la meta programada inicialmente se mantuvo durante el periodo, no se tuvieron variaciones. Efecto: UAM: Ampliar y diversificar la oferta de eventos culturales hacia la comunidad de la Institución y al público en general, y dar a conocer y difundir las expresiones artísticas y culturales propias y de otros países.  .  UNAM. Asistencia de la población estudiantil y público en general a eventos artísticos y culturales contribuyendo con ello en su crecimiento cultural y artístico.  .  INAH. Incremento de asistentes a los recintos que son patrimonio cultural del país. Aumento de las divisas del país por las visitas del público extranjero, lo que se refleja en empleo, ventas de artesanías, y ocupación hotelera. Aumento de los recursos autogenerados resultado tanto de las visitas nacionales y extranjeras, y se está logrando contribuir con el objetivo del programa que es el de difundir el patrimonio del país.  .   INBAL. ha cumplido con los objetivos que le confiere su Ley de Creación en beneficio de la población en general, contribuyendo al desarrollo y bienestar social y promoviendo el acceso y el disfrute de la cultura.  .  CONACULTA. Avances para fomentar y apoyar la cultura lo que suma grandes aportaciones, actuales y potenciales, al desarrollo político, educativo, social y económico de México. Reducir la brecha entre quienes tienen a su alcance la diversidad de los recursos, medios y servicios culturales y quienes tienen oportunidades significativamente menores o nulas. Apertura, con cauces y lineamientos claros y una acción coordinada, a la participación de los distintos sectores de la sociedad, concebida como un derecho y, al mismo tiempo, como una necesidad imperiosa del desarrollo cultural del país.  . INEHRM. Hay un mayor impacto social por el número de población atendida.  . CECUT. El incremento de asistencias impacta de manera benéfica el área social y económica de la comunidad local, ya que el disfrute de las actividades y manifestaciones artísticas y del patrimonio histórico cultural atrapa al público familiar a través de un variado programa de eventos. Otros Motivos:Para mayor información acerca de las causas de las variaciones entre la meta alcanzada y la meta original del indicador consultar el documento Análisis del Cumplimiento de los Indicadores para Resultados de la Secretaría de Educación Pública, correspondiente a la Cuenta de la Hacienda Pública Federal 2013. </t>
    </r>
  </si>
  <si>
    <r>
      <t xml:space="preserve">Tasa de variación del tiraje de los títulos editados y coeditados en materia artística o cultural
</t>
    </r>
    <r>
      <rPr>
        <sz val="10"/>
        <rFont val="Soberana Sans"/>
        <family val="2"/>
      </rPr>
      <t xml:space="preserve"> Causa : El resultado de la meta alcanzada del indicador es negativo en -17.5; Debido a que el indicador reporta meta alcanzada con signo negativo, para el cálculo del porcentaje de cumplimiento se aplicaron las fórmulas siguientes: (Numerador de la Meta Alcanzada/ Numerador de la Meta Aprobada) X 100    UAM.la meta alcanzada respecto de la reprogramada quedó por arriba del 100 por ciento debido: I. Mayor interés de las editoriales por la edición y coedición de los títulos presentados por los investigadores de la Institución.II. Mayor interés del público en general por los títulos editados.     La UNAM comenta que El indicador de gestión presentó un avance negativo de 14.64 por ciento, derivado primordialmente de que durante el ejercicio 2013 la UNAM promovio la publicación de libros electrónicos, donde el tiraje no aplica.     INAH. No se cumplió con la meta programada debido a que la política editorial del Instituto en apego al ahorro de recursos  financieros,  así como a la no utilización de papel es contribuir al cuidado del medio ambiente,  por lo cual muchos libros se están editando en forma digital. Fue creada un área de Mediateca con el propósito de fortalecer la digitalización de las publicaciones.      El CONACULTA En el periodo enero-diciembre de 2013 el indicador de Tiraje de ejemplares se reporta un cumplimiento del 74.06% con respecto al universo de cobertura, lo cual obedece fundamentalmente a que el programa editorial de la Dirección General de Culturas Populares se vio impactado por una reducción presupuestal del 53%, así como por la reducción en los tirajes de las coediciones acordadas, por razones de costo, mercado y de la reducción de títulos editados en coedición, en el Programa Cultural Tierra Adentro.      Efecto: UAM. El efecto socieconómico del alcance de este indicador es el siguiente: I. Difundir en forma escrita las expresiones artísticas y culturales propias y de otros países.     La UNAM menciona que los beneficios económicos y sociales alcanzados con este indicador de componente permitieron el tiraje de diversos títulos editados y coeditados en materia artística y cultural, contribuyendo con ello a que la población universitaria y en general cuenten con un mayor acervo artístico  cultural para apoyar sus conocimientos.     INAH. El efecto es positivo ya que la no utilización de papel es contribuir al cuidado del medio ambiente.     CONACULTA. I. Propiciar la generación de políticas, programas, proyectos y acciones dirigidas al fomento y promoción de la lectura; II. Fomentar y estimular la edición, distribución y comercialización del libro y las publicaciones periódicas; III. Fomentar y apoyar el establecimiento y desarrollo de librerías, bibliotecas y otros espacios públicos y privados para la lectura y difusión del libro; IV. Establecer mecanismos de coordinación interinstitucional con los distintos órdenes de gobierno y la vinculación con los sectores social y privado, para impulsar las actividades relacionadas con la función educativa y cultural del fomento a la lectura y el libro; V. Hacer accesible el libro en igualdad de condiciones en todo el territorio nacional para aumentar su disponibilidad y acercarlo al lector; VI. Fortalecer la cadena del libro con el fin de promover la producción editorial mexicana para cumplir los requerimientos culturales y educativos del país; VII. Estimular la competitividad del libro mexicano y de las publicaciones periódicas en el terreno internacional, y VIII. Estimular la capacitación y formación profesional de los diferentes actores de la cadena del libro y promotores de la lectura. VIII.Fomentar la consolidación de la industria cultural nacional. Otros Motivos:</t>
    </r>
  </si>
  <si>
    <r>
      <t xml:space="preserve">Tasa de crecimiento de actividades artísticas y culturales realizadas
</t>
    </r>
    <r>
      <rPr>
        <sz val="10"/>
        <rFont val="Soberana Sans"/>
        <family val="2"/>
      </rPr>
      <t xml:space="preserve"> Causa : La UAM quedó por arriba del 100%.Este avance se debe a los factores de mayor diversificación en los eventos  y la movilidad de los eventos en diferentes espacios de la Institución.  La UNAM menciona que  la meta fue de 82,705 actividades artístico cultural con respecto de 76,522 actividades realizadas en 2012 lo que significó un crecimiento de 8.08%.Dicho resultado es el compromiso que tiene la Universidad ofreciendo a la comunidad estudiantil y público el esparcimiento cultural y artístico que coadyuven a su formación integral.  El INAH La meta se superó 68.7%, con lo cual la población del país  se vio beneficiada de este tipo de eventos , debido a que se realizaron conferencias, cursos,  talleres y. visitas guiadas, entre otros,  en los distintos recintos culturales del Instituto, sus mayores visitas fueron en vacaciones.  El INBA tuvo un crecimiento del 13.5% en relación con el año de 2012. Este resultado se vio favorecido a los esfuerzos que se realizaron para la concertación con foros y recintos culturales externos, incluyendo los que se encuentran al aire libre para la presentación de eventos artístico-culturales institucionales,se multiplicaron las actividades paralelas como cursos, talleres y visitas guiadas principalmente en los museos del Instituto.  El CONACULTA efectuo diversas ferias del libro entre las que sobresalen: La VI Feria de Libro Teatral en México, D.F., XXIX Feria del Libro Chapingo en Chapingo, Edo de México, Feria del Libro Chihuahua, entre otras ferias.  El INEHRM menciona que la meta fue superada en un 71.42%, ya que se realizaron 120 actividades en el año, 50 más de las realizadas el año anterior, debido  a la divulgación, difusión y vinculación con Universidades, instituciones académicas, dependencias y entidades del sector público federal.  El CECUT aun cuando la meta programada se hizo en proyección a lo alcanzado, ésta no se reprogramó, por lo que no se registran variaciones en la misma. Efecto: La UAM menciona que el principal efecto socioeconómico es Ampliar la visión cultural de la población universitaria y aledaña.  La UNAM a través de este indicador se alcanzaron beneficios económicos y sociales que permitieron brindar a la comunidad estudiantil y población en general opciones de esparcimiento, acceso y participación de los bienes y servicios artísticos y culturales, coadyuvando con ello en su crecimiento cultural y artístico y reforzando con ello la identidad nacional.   El INAH menciona un incremento de la oferta cultural de las áreas de trabajo del Instituto, para el disfrute de la población en general.  El INBA ha cumplido oportunamente con los objetivos que le confiere su Ley de Creación en beneficio de la población en general, contribuyendo al desarrollo y bienestar social y promoviendo el acceso y el disfrute de la cultura.    El CONACULTA orienta una transformación gradual de las instituciones y organismos de cultura, de su entorno jurídico, bases de organización, niveles de desempeño, eficiencia y capacidad de respuesta a las necesidades de la población y del desarrollo cultural.Amplia el acceso de la sociedad a diversas manifestaciones culturales y artísticas sumando grandes aportaciones al desarrollo político,educativo,social y económico de México. ¿Logra la igualdad en el acceso y el disfrute de la cultura significa reducir la brecha entre quienes tienen a su alcance la diversidad de los recursos, medios y servicios culturales y quienes tienen oportunidades significativamente menores o nulas. ¿Impulsa una acción cultural de participación y corresponsabilidad nacional¿Diseño y desarrollo de programas y actividades culturales y artísticas de calidad.  El INEHRM menciona que hay un mayor impacto social por el número de población atendida.  El CECUT ofrece una programación de calidad hacia la comunidad, impacta de manera favorable en la comunidad, al recibir actividades artísticas, culturales y de difusión del patrimonio, variadas y gratuitas. Otros Motivos:</t>
    </r>
  </si>
  <si>
    <r>
      <t xml:space="preserve">Tasa de crecimiento de la población formada y/o capacitada en materia artística o cultural
</t>
    </r>
    <r>
      <rPr>
        <sz val="10"/>
        <rFont val="Soberana Sans"/>
        <family val="2"/>
      </rPr>
      <t xml:space="preserve"> Causa : La UNAM comenta que el indicador estratégico "Tasa de crecimiento de la población formada y/o capacitada en materia artística o cultural", que mide el crecimiento de la población formada y/o capacitada en materia artística o cultural de forma escolarizada y no escolarizada con respecto al año anterior, presentó al cierre del ejercicio 2013 una tasa de crecimiento de 11.09 por ciento equivalente a 14,320 personas formadas y/o capacitadas en materia artística o cultural con respecto de las 12,890 personas formadas y/o capacitadas en materia artística o cultural alcanzada en el año 2012. Es de señalar dicho crecimiento es superior a su estimación original de 2.51 por ciento equivalente a 13,214 personas formadas y/o capacitadas en materia artística o cultural con respecto de las 12,890 personas formadas y/o capacitadas en materia artística o cultural alcanzada en el año 2012. Esto como resultado principalmente del compromiso que tiene esta Casa de Estudios por coadyuvar en el fortalecimiento y renovación del vínculo de la cultura con el proceso educativo.        El CONACULTA incremento  el 14.69%, como consecuencia  de los nuevos programas y acciones que se implementaron básicamente en el cuarto trimestre de 2013 en el que se echó a andar el proyecto de transmisiones en vivo por Internet, difundiéndose por este medio  diversos cursos, foros y conferencias magistrales con una presencia de 15,372 visitantes del sitio web. El Centro Multimedia del CENART llevó a cabo festivales que fueron el marco propicio para impartir más cursos y talleres que los considerados en las metas programadas originalmente.        Efecto: La UNAM menciona que los beneficios económicos y sociales alcanzados con este indicador de componente permitieron brindar a la sociedad profesionistas de las artes que contribuyan al crecimiento artístico cultural nacional.    El CONACULTA dice que la formación escolarizada y no escolarizada del capital humano ha generado aportes fundamentales en el conocimiento del patrimonio cultural en las áreas antropológicas, históricas y artísticas proporcionando un referente cada vez más claro a las instituciones culturales y a la sociedad sobre la enorme magnitud de las tareas de conservación, recuperación, promoción y difusión que sin duda alguna han incidido en el desarrollo sociocultural y económico. Lograr la igualdad en el acceso y el disfrute de la cultura significa reducir la brecha entre quienes tienen a su alcance la diversidad de los recursos, medios y servicios culturales (espacios, bienes, manifestaciones) y quienes tienen oportunidades significativamente menores o nulas.Impulsar una acción cultural de participación y corresponsabilidad nacional significa, también, la apertura, con cauces y lineamientos claros y una acción coordinada, a la participación de los distintos sectores de la sociedad, concebida como un derecho y, al mismo tiempo, como una necesidad imperiosa del desarrollo cultural del país.  Otros Motivos:</t>
    </r>
  </si>
  <si>
    <r>
      <t xml:space="preserve">Tasa de crecimiento de titulos culturales editados respecto del año anterior
</t>
    </r>
    <r>
      <rPr>
        <sz val="10"/>
        <rFont val="Soberana Sans"/>
        <family val="2"/>
      </rPr>
      <t xml:space="preserve"> Causa : La UAM dice que el indicador de gestión "Tasa de crecimiento de títulos culturales editados respecto al año anterior" se cumplió con eficacia ya que el porcentaje de cumplimiento de la meta alcanzada respecto de la reprogramada quedó por arriba del 100 por ciento debido principalmente al siguiente factor: I. Incremento en la participación de coeditores y por lo tanto mayor facilidad para publicar de parte de los autores.    La UNAM dice que durante el año 2013 se registró el indicador de gestión "Tasa de crecimiento de títulos culturales editados con respecto al año anterior", que mide el crecimiento de títulos culturales editados con respecto del año anterior, el cual presento al terminó del ejercicio una tasa de crecimiento de títulos culturales editados de 2.31 por ciento (equivalente a 2788 títulos culturales editados en el año 2013 con respecto de 2,725 títulos culturales editados en el año 2012) lo que reflejó un cumplimiento del indicador de 140.00 por ciento con respecto a su estimación, ello como resultado de las metas y compromisos que esta Universidad tiene para con la comunidad universitaria y sociedad mexicana.   El INAH dice que  la meta de este indicador se superó 10.99%, en el cuarto trimestre se publicaron  28 libros,  debido al impulso que se le está dando a la Edición de títulos culturales y a la coedición de libros con otras Instituciones Culturales.  El CONACULTA dice que los Títulos culturales editados reportan un cumplimiento del 89.89%, lo cual obedece fundamentalmente a que el programa editorial de la Dirección General de Culturas Populares se vio impactado por una reducción presupuestal del 53%, así como por la reducción en los tirajes de las coediciones acordadas, por razones de costo.  El Instituto Nacional de Estudios Históricos de las Revoluciones de México comenta que se superó la meta en un 100%, ya que se publicaron 12 libros impresos más de los programados. Efecto: La UAM  menciona los efectos socieconómicos de este indicador son los siguientes: I.Difundir en forma escrita las expresiones artísticas y culturales propias y de otros países. II.Incremento en el acervo cultural y difundir el conocimiento de las culturas entre la comunidad universitaria y el público en general.  La UNAM menciona los beneficios económicos y sociales alcanzados en este indicador de actividad permitieron la edición de diversas publicaciones culturales, contribuyendo con ello a que la población universitaria y en general cuenten con un mayor acervo cultural para apoyar sus conocimientos.    El INAH que el Incremento de la oferta cultural en el rubro de libros  para el disfrute de la población interesada en las áreas materia del Instituto: antropología, arqueología, historia entre otras.  El CONACULTA  I.Genera políticas, programas, proyectos y acciones dirigidas al fomento y promoción a la lectura; II.Fomenta y estimula la edición, distribución y comercialización y las publicaciones periódicas; III.Fomenta y apoya el establecimiento y desarrollo de librerías, bibliotecas y otros espacios públicos y privados; IV.Establece mecanismos de coordinación interinstitucional con los distintos órdenes de gobierno y la vinculación con los sectores, para impulsar las actividades educativas y culturales del fomento a la lectura; V.Hace accesible el libro en igualdad de condiciones en todo el territorio nacional para aumentar su disponibilidad; VI.Fortalece la cadena del libro con el fin de promover la producción editorial mexicana para cumplir los requerimientos culturales y educativos del país; VII.Estimula la competitividad del libro mexicano y de las publicaciones periódicas en el terreno internacional,VIII.Estimula la capacitación y formación profesional de los diferentes actores de la cadena del libro y promotores de la lectura. VIII. Fomenta la consolidación de la industria cultural nacional.  El INEHRM menciona que hay una mayor difusion de libros editados Otros Motivos:</t>
    </r>
  </si>
  <si>
    <r>
      <t xml:space="preserve">Tasa de crecimiento de las acciones de promoción y fomento del desarrollo cultural en relación con el año anterior
</t>
    </r>
    <r>
      <rPr>
        <sz val="10"/>
        <rFont val="Soberana Sans"/>
        <family val="2"/>
      </rPr>
      <t xml:space="preserve"> Causa : La UAM menciona que el indicador de gestión "Tasa de crecimiento de las acciones de promoción y fomento del desarrollo cultural en relación con el año anterior" se cumplió con eficacia ya que el porcentaje de cumplimiento de la meta alcanzada respecto a la reprogramada fué del 100 por ciento. Este logro se debió principalmente a: I. Se realizaron todas las acciones de promoción planeadas en 2013.     La UNAM que  el indicador de actividad "Tasa de crecimiento de las acciones de promoción y fomento del desarrollo cultural con relación al año anterior" presentó durante el ejercicio 2013 un avance de 15.84 por ciento al llevar a cabo 12,216 acciones de promoción y fomento publicados o realizados en el año con respecto de las 10,546 acciones de promoción y fomento publicados o realizados en el 2012, lo que representa un avance superior al estimado esto gracias al compromiso que tiene la Universidad por difundir y promover la cultura y los eventos producidos a través de spots, carteles, trípticos e inserciones, así como del aprovechamiento de la utilización de los medios informáticos como el internet y las redes sociales.     El INBA que el cumplimiento de esta meta fue 22% menor a lo alcanzado en el 2012, motivado por retrasos en la concertación de contrataciones con medios impresos, espacios alternativos, etc.     El Instituto Nacional de Estudios Históricos de las Revoluciones de México programaron 156 emisiones de radio mediante la realización de tres programas, sin embargo se incorporó uno más a partir del mes de julio, logrando realizar 182 emisiones, superando la meta programada en un 16.67%. Efecto: La UAM dice que el principal efecto socioeconómico de esta actividad es: I. Ampliar la difusión de los diferentes eventos culturales que se presentan en los diversos espacios de nuestra Institución.    La UNAM que los efectos socioeconómicos del alcance de metas del indicador permitieron la difusión de los eventos culturales que realizó la Universidad y que refuerzan la identidad nacional. Así mismo permitieron brindar a la población en general opciones de esparcimiento que coadyuven a su crecimiento cultural.     El INBA dice que aun cuando la meta no creció en relación con el año de 2012 su alcance permitió difundir adecuadamente el quehacer institucional en todas las disciplinas artísticas en favor de las expresiones de la diversidad cultural.      El Instituto Nacional de Estudios Históricos de las Revoluciones de México que tuvieron mayor alcance de audiencia,lo que conlleva mayor difusión. Otros Motivos:</t>
    </r>
  </si>
  <si>
    <r>
      <t xml:space="preserve">Tasa de crecimiento de producciones artísticas y culturales realizadas
</t>
    </r>
    <r>
      <rPr>
        <sz val="10"/>
        <rFont val="Soberana Sans"/>
        <family val="2"/>
      </rPr>
      <t xml:space="preserve"> Causa : La UAM que el indicador de gestión "Tasa de crecimiento de producciones artísticas y culturales realizadas" se cumplió con eficacia ya que el porcentaje de cumplimiento de la meta alcanzada respecto de la reprogramada alcanzó el 100 por ciento debido principalmente a los siguientes factores: I.Mayor divulgación por parte de la Institución de las actividades artísticas y culturales. II.Mayor interés de la comunidad por las producciones presentadas en 2013.     La UNAM presentó para el ejercicio 2013 el indicador de gestión "Tasa de crecimiento de producciones artísticas y culturales realizadas", que mide crecimiento de producciones artísticas y culturales realizadas con respecto al año anterior. Logrando al cierre del ejercicio una tasa de crecimiento de 23.27 por ciento (equivalente a 17,301 producciones artísticas y culturales realizadas en 2013 con respecto a 14,035 producciones artísticas y culturales realizadas en 2012). Ello como resultado del compromiso institucional para coadyuvar en el fortalecimiento de la difusión y extensión de la cultura, beneficiando con ello tanto a la comunidad universitaria, como al público en general.     El INAH Como parte del reforzamiento de la estrategia de difusión  se incrementaron el número de exposiciones presentadas. En el cuarto trimestre se realizó la siguiente exposición de carácter nacional: Paisajes Mayas. Hilos de la Luz en el Museo Nacional de Antropología (Palacio cantón Yucatán); Internacional: Mayas,  Revelación de un tiempo sin fin, la cual se presentó en la Galería de Palacio Nacional. Asimismo, se presentaron Exposiciones itinerantes: Pintando con la naturaleza la Imagen del Mundo (Museo Regional de Chiapas); Los Hombres del Arroz (Museo de Sitio de Xochicalco); entre otras exposiciones.    El INBA menciona que la meta alcanzada creció 16% en relación con la alcanzada en el año de 2012, debido a que se concretaron varias producciones principalmente en el área de teatro y artes visuales. Efecto: La UAM dice que el principal efecto socioeconómico del nivel propósito es: I. Ampliar la visión cultural de la población universitaria y aledaña.    La UNAM dice que los beneficios económicos y sociales alcanzados con este indicador de actividad, permitieron brindar a la comunidad universitaria y público en general producciones artísticas y culturales de calidad contribuyendo con ello en su formación y crecimiento cultural y artístico.    El INAH menciona que el incremento de la oferta cultural del Instituto para el disfrute de la población.    El INBA menciona que con la meta alcanzada se ha contribuido a diversificar y enriquecer la oferta cultural, como componente indispensable del desarrollo humano de hombres y mujeres.   Otros Motivos:</t>
    </r>
  </si>
  <si>
    <r>
      <t xml:space="preserve">Tasa de crecimiento de apoyos otorgados en el ámbito cultural
</t>
    </r>
    <r>
      <rPr>
        <sz val="10"/>
        <rFont val="Soberana Sans"/>
        <family val="2"/>
      </rPr>
      <t xml:space="preserve"> Causa : Para el ejercicio 2013 la UNAM contó con el indicador estratégico "Tasa de crecimiento de apoyos otorgados en el ámbito cultural", que mide los apoyos otorgados para la formación artística y cultural (concursos y premios) otorgados en el año 2013 con respecto a los otorgados en el año 2012. Al cierre del ejercicio la tasa de crecimiento del indicador fue de 34.8 por ciento (equivalente a 457 apoyos otorgados en el ámbito cultural en el año 2013 con respecto de los 339 otorgados en el año 2012), dicho crecimiento fue resultado principalmente del interés e impulso que esta Casa de Estudios realizó para fomentar la formación artística y cultural de la población, dichos apoyos consistieron básicamente en la realización de concursos y la entrega de premios del Programa Estímulos a la Creación.      El CONACULTA registra un incremento del 5.75%, respecto al universo de cobertura. Esto obedeció a la creación de un nuevo programa de estímulos a la creación artística y a las decisiones de las Comisiones de selección que, en alguno de los programas otorgaron un poco más de los apoyos, becas o estímulos programados.  Efecto: Los beneficios económicos y sociales alcanzados  de la UNAM con este indicador de actividad, permitieron fortalecer e impulsar el interés de la población en formarse en materia artística y cultural. Contar con profesionistas en materia artística y cultural que impulsen y contribuyan el crecimiento y formación en el ámbito artístico y cultural.     El CONACULTA menciona dar a conocer y poner al alcance de la sociedad la producción artística y cultural generada con el apoyo del FONCA. Promover a los artistas en toda la República Mexicana y vincularlos con otras instancias culturales del país. Potencializar la experiencia y el talento de los artistas y Creadores para la formación de nuevas generaciones y nuevos públicos. Multiplicar las opciones y las modalidades de formación artística y cultural, tanto en la educación formal como no formal en todo el país   Otros Motivos:</t>
    </r>
  </si>
  <si>
    <t>E012</t>
  </si>
  <si>
    <t>Incorporación, restauración, conservación y mantenimiento de bienes patrimonio de la Nación</t>
  </si>
  <si>
    <t>Contribuir a la conservación de los espacios y recintos históricos y artísticos nacionales, a través de su registro, protección, preservación y aprovechamiento</t>
  </si>
  <si>
    <r>
      <t>Porcentaje de actualización del registro de obra artística</t>
    </r>
    <r>
      <rPr>
        <i/>
        <sz val="10"/>
        <color indexed="30"/>
        <rFont val="Soberana Sans"/>
        <family val="3"/>
      </rPr>
      <t xml:space="preserve">
</t>
    </r>
  </si>
  <si>
    <t>(Sumatoria de bienes muebles e inmuebles catalogados con valor artístico con registro actualizado en el año N /  Sumatoria de bienes muebles e inmuebles con valor artístico registrados + Bienes muebles e inmuebles con nuevo registro en el año N) * 100</t>
  </si>
  <si>
    <r>
      <t>Porcentaje de variación de los bienes inmuebles históricos propiedad federal intervenidos en comparación al año anterior</t>
    </r>
    <r>
      <rPr>
        <i/>
        <sz val="10"/>
        <color indexed="30"/>
        <rFont val="Soberana Sans"/>
        <family val="3"/>
      </rPr>
      <t xml:space="preserve">
</t>
    </r>
  </si>
  <si>
    <t>(Número de bienes inmuebles que fueron intervenidos con acciones de conservación, restauración y/o mantenimiento en el año N / Número de bienes inmuebles que fueron intervenidos con acciones de conservación, restauración y/o mantenimiento en el año N -1)  * 100</t>
  </si>
  <si>
    <t>Los bienes inmuebles históricos de propiedad federal cuentan con acciones de registro, catalogación e intervención para su conservación y aprovechamiento</t>
  </si>
  <si>
    <r>
      <t>Porcentaje de registro y catalogación de los bienes culturales inmuebles federales del patrimonio cultural de la nación</t>
    </r>
    <r>
      <rPr>
        <i/>
        <sz val="10"/>
        <color indexed="30"/>
        <rFont val="Soberana Sans"/>
        <family val="3"/>
      </rPr>
      <t xml:space="preserve">
</t>
    </r>
  </si>
  <si>
    <t>(Número de sitios arqueológicos y monumentos históricos registrados y catalogados en el año N / Número de sitios arqueológicos y monumentos históricos registrados y catalogados programados en el año N ) * 100</t>
  </si>
  <si>
    <r>
      <t>Porcentaje de obra artística mueble e inmueble que se ha dictaminado para registro</t>
    </r>
    <r>
      <rPr>
        <i/>
        <sz val="10"/>
        <color indexed="30"/>
        <rFont val="Soberana Sans"/>
        <family val="3"/>
      </rPr>
      <t xml:space="preserve">
</t>
    </r>
  </si>
  <si>
    <t>(Total de obra artística mueble e inmueble dictaminada en el año N / Total de obra artística mueble e inmueble programada para dictaminación en el año N) * 100</t>
  </si>
  <si>
    <r>
      <t>Porcentaje de monumentos históricos de propiedad federal de preservados</t>
    </r>
    <r>
      <rPr>
        <i/>
        <sz val="10"/>
        <color indexed="30"/>
        <rFont val="Soberana Sans"/>
        <family val="3"/>
      </rPr>
      <t xml:space="preserve">
Indicador Seleccionado</t>
    </r>
  </si>
  <si>
    <t>(Total de Proyectos de obra realizados para la intervención en monumentos históricos de propiedad federal en el año N / Número de Proyectos de obra programados para la intervención en monumentos históricos de propiedad federal en el año N) * 100</t>
  </si>
  <si>
    <t>A Atención de solicitudes de conservación y restauración de obras artísticas</t>
  </si>
  <si>
    <r>
      <t>Porcentaje de obra artística restaurada</t>
    </r>
    <r>
      <rPr>
        <i/>
        <sz val="10"/>
        <color indexed="30"/>
        <rFont val="Soberana Sans"/>
        <family val="3"/>
      </rPr>
      <t xml:space="preserve">
</t>
    </r>
  </si>
  <si>
    <t>(Obra artística conservada o restaurada en el año N / Registro de obras artística actualizado en el año N) * 100</t>
  </si>
  <si>
    <t>B Dictámenes y Asesorías técnicas en materia de conservación, restauración y mantenimiento de bienes inmuebles de propiedad federal realizados</t>
  </si>
  <si>
    <r>
      <t>Porcentaje de Dictámenes y Asesorías técnicas relativas a proyectos de intervención a bienes inmuebles de propiedad federal a realizar en el año</t>
    </r>
    <r>
      <rPr>
        <i/>
        <sz val="10"/>
        <color indexed="30"/>
        <rFont val="Soberana Sans"/>
        <family val="3"/>
      </rPr>
      <t xml:space="preserve">
</t>
    </r>
  </si>
  <si>
    <t>((Total de Dictámenes y Asesorías técnicas  a proyectos de intervención a bienes inmuebles de propiedad federal a realizar en el año N / Total de Dictámenes y Asesorías técnicas  programados a realizar de proyectos de intervención a bienes inmuebles de propiedad federal a realizar en el año N) X 100</t>
  </si>
  <si>
    <t>C Sitios arqueológicos y monumentos históricos registrados</t>
  </si>
  <si>
    <r>
      <t>Porcentaje de sitios arqueológicos y monumentos históricos registrados con respecto a los programados.</t>
    </r>
    <r>
      <rPr>
        <i/>
        <sz val="10"/>
        <color indexed="30"/>
        <rFont val="Soberana Sans"/>
        <family val="3"/>
      </rPr>
      <t xml:space="preserve">
</t>
    </r>
  </si>
  <si>
    <t>((Número de sitios arqueológicos y monumentos históricos registrados en el año N / Número de sitios arqueológicos y monumentos históricos a registrar en el año N) * 100</t>
  </si>
  <si>
    <t>A 1 Atención de solicitudes de conservación y restauración de murales</t>
  </si>
  <si>
    <r>
      <t>Porcentaje de restauración de murales con respecto a los metros cuadrados de murales registrados y de nuevo registro</t>
    </r>
    <r>
      <rPr>
        <i/>
        <sz val="10"/>
        <color indexed="30"/>
        <rFont val="Soberana Sans"/>
        <family val="3"/>
      </rPr>
      <t xml:space="preserve">
</t>
    </r>
  </si>
  <si>
    <t>(Metros cuadrados de mural restaurado en el año N / Metros cuadrados de murales registrados + Metros cuadrados de murales de nuevo registro en el año N) * 100</t>
  </si>
  <si>
    <t>B 2 Documentos sonoros catalogados y digitalizados</t>
  </si>
  <si>
    <r>
      <t>Porcentaje de material fonográfico digitalizado</t>
    </r>
    <r>
      <rPr>
        <i/>
        <sz val="10"/>
        <color indexed="30"/>
        <rFont val="Soberana Sans"/>
        <family val="3"/>
      </rPr>
      <t xml:space="preserve">
</t>
    </r>
  </si>
  <si>
    <t>(Total de bienes culturales, muebles digitalizados en el año N / Bienes culturales, muebles programados a digitalizar en el año N) * 100</t>
  </si>
  <si>
    <r>
      <t>Tasa de variación de documentos sonoros catalogados con respecto al año anterior</t>
    </r>
    <r>
      <rPr>
        <i/>
        <sz val="10"/>
        <color indexed="30"/>
        <rFont val="Soberana Sans"/>
        <family val="3"/>
      </rPr>
      <t xml:space="preserve">
</t>
    </r>
  </si>
  <si>
    <t>((Número de documentos sonoros catalogados en el año N / Número de documentos sonoros programados a catalogar en el año N-1)-1) * 100</t>
  </si>
  <si>
    <t>C 3 Delimitación de sitios arqueológicos y actualización del catalogo de monumentos históricos</t>
  </si>
  <si>
    <r>
      <t>Porcentaje de sitios arqueológicos delimitados</t>
    </r>
    <r>
      <rPr>
        <i/>
        <sz val="10"/>
        <color indexed="30"/>
        <rFont val="Soberana Sans"/>
        <family val="3"/>
      </rPr>
      <t xml:space="preserve">
</t>
    </r>
  </si>
  <si>
    <t>(Número de sitios arqueológicos delimitados en el año N/ Número de sitios arqueológicos programados para delimitar en el año N)* 100</t>
  </si>
  <si>
    <r>
      <t>Porcentaje de fichas actualizadas de bienes catalogados</t>
    </r>
    <r>
      <rPr>
        <i/>
        <sz val="10"/>
        <color indexed="30"/>
        <rFont val="Soberana Sans"/>
        <family val="3"/>
      </rPr>
      <t xml:space="preserve">
</t>
    </r>
  </si>
  <si>
    <t>(Número de fichas actualizadas de monumentos históricos catalogados en el año N / Número de fichas programadas a actualizar de monumentos catalogados en el año N) * 100</t>
  </si>
  <si>
    <r>
      <t xml:space="preserve">Porcentaje de actualización del registro de obra artística
</t>
    </r>
    <r>
      <rPr>
        <sz val="10"/>
        <rFont val="Soberana Sans"/>
        <family val="2"/>
      </rPr>
      <t xml:space="preserve"> Causa : El registro de obra artistica mueble e inmueble cuyas metas fueron superadas respecto de lo programado gracias a que se logro que influyeran con mayor rapidez los dictamenes técnicos que avalan la procedencia para las obras que fueron registradas al cumplir con los requisitos establecidos.               Efecto:  El CONACULTA reporta que avanzó en el registro, inventario y catalogación del patrimonio cultural mueble e inmueble, logrando fortalecer la protección, conservación y difusión de dicho patrimonio cultural. Otros Motivos:</t>
    </r>
  </si>
  <si>
    <r>
      <t xml:space="preserve">Porcentaje de variación de los bienes inmuebles históricos propiedad federal intervenidos en comparación al año anterior
</t>
    </r>
    <r>
      <rPr>
        <sz val="10"/>
        <rFont val="Soberana Sans"/>
        <family val="2"/>
      </rPr>
      <t xml:space="preserve"> Causa : CAUSAS: El INAH reporta más siniestros y eventualidades en inmuebles históricos que los estimados por lo que el programa emergente de mantenimiento los atendió oportunamente. CAUSAS: El CONACULTA reporta que debido a que la intervención planeada para 2013 concerniente al programa "E012 Incorporación, Restauración, Conservación y Mantenimiento de Bienes Patrimonio de la Nación", se liberó el último bimestre del año, no se pudo alcanzar la meta programada para conservar 38 inmuebles de propiedad federal, por lo que únicamente se intervinieron dos inmuebles: Palacio Nacional y la Catedral Metropolitana de la Ciudad de México, circunstancia ajena a esta Unidad Administrativa.                            Efecto: EFECTOS: El INAH  propone un mantenimiento menor a aquellos espacios en inmuebles que lo requieren a causa de afectaciones por siniestros; además de conservar y restaurar inmuebles de carácter histórico que permita conservar en buenas condiciones el patrimonio cultural administrado por el INAH. EFECTOS: El CONACULTA considera ampliar la recuperación y mantenimiento, así como el libre acceso a la población a los inmuebles históricos, que propicien el uso y disfrute de este patrimonio. Ofrecer espacios, bienes y servicios culturales instalada en el país mejore sustancialmente sus condiciones para elevar la calidad de la atención que ofrece a la población y a los sectores profesionales vinculados con la actividad cultural nacional. Otros Motivos:</t>
    </r>
  </si>
  <si>
    <r>
      <t xml:space="preserve">Porcentaje de registro y catalogación de los bienes culturales inmuebles federales del patrimonio cultural de la nación
</t>
    </r>
    <r>
      <rPr>
        <sz val="10"/>
        <rFont val="Soberana Sans"/>
        <family val="2"/>
      </rPr>
      <t xml:space="preserve"> Causa : CAUSAS: eL conaculta reportapara  este periodo que se contó con el levantamiento de 69 cedulas de inventario en el templo de la santisima trinidad localizado en el estado de puebla, por lo tanto no se alcanzó la meta programada debido aque el oficio de liberación de recursos llegó el día 28 de noviembre, y a la vez no se autorizaron recursos para este indicador, alcanzando a la fecha 611 cedulas de monumentos.           Efecto: EFECTOS: El CONACULTA Establecio condiciones integrales de desarrollo con el entorno social, natural y urbano de los sitios y monumentos culturales y artisiticos del país, que generen una nueva perspectiva en las labores de restauración y conservación de los mismos. Propiciar la valoración social de los monumentos históricos y artisticos, muebles e inmuebles que conformen el acervo cultural edificado, que favorezca la participación de la sociedad organizada y los gobiernos, federales, estatales y municipales en la conservación y custodia del patrimonio cultural. Ofrecer espacios, bienes y servicios culturales de calidad es hacer que la amplia infraestructura de servicios y espacios culturales instalada en el país mejore sustancialmente sus condiciones para elevar la calidad de la atención que ofrece a la población y a los sectores profesionales vinculados con la actividad cultural nacional. Otros Motivos:</t>
    </r>
  </si>
  <si>
    <r>
      <t xml:space="preserve">Porcentaje de obra artística mueble e inmueble que se ha dictaminado para registro
</t>
    </r>
    <r>
      <rPr>
        <sz val="10"/>
        <rFont val="Soberana Sans"/>
        <family val="2"/>
      </rPr>
      <t xml:space="preserve"> Causa : El CONACULTA dictamina que la obra artística mueble e inmueble fue ampliamente superado respecto de lo programado, gracias a que se logró que fluyeran con mayor rapidez los procesos de documentación que avalan la procedencia para dictaminar las obras que serán registradas al cumplir con los requisitos establecidos.     Efecto: El CONACULTA reporta que se avanzó en la dictaminación, registro, inventario y catalogación del patrimonio cultural mueble e inmueble, logrando fortalecer la protección, conservación y difusión de dicho patrimonio cultural.     Otros Motivos:</t>
    </r>
  </si>
  <si>
    <r>
      <t xml:space="preserve">Porcentaje de monumentos históricos de propiedad federal de preservados
</t>
    </r>
    <r>
      <rPr>
        <sz val="10"/>
        <rFont val="Soberana Sans"/>
        <family val="2"/>
      </rPr>
      <t xml:space="preserve"> Causa : La Secretaría de Educación Pública estableció en el programa presupuestario E012 para el ejercicio 2013, el indicador estratégico Porcentaje de monumentos históricos de propiedad federal de preservados, como un indicador de eficacia. Al cierre del año, este indicador registró un porcentaje de cumplimiento de 2.00%. Lo anterior se explica debido a que CONACULTA programó 100 inmuebles para preservar a cargo de la Dirección General de Sitios y Monumentos del Patrimonio Cultural, sin embargo debido a las diversas modificaciones de que fue objeto el oficio de inversión, se llevó a cabo un análisis para determinar la prioridad de los inmuebles a preservar, gestionándose los siguientes:  7 inmuebles en el D.F. (Catedral y sagrarios metropolitanos, Palacio Nacional, Templo de Jesús Nazareno, Templo de Santo Domingo, Templo de la Santa Veracruz, Capilla de la Conchita, Coyoacán, y Capilla del Pósito.) y 17 en el interior de la república, (Templo de la Santísima Trinidad, Ixtacomitan, Parroquia de Jesús Nazareno Atotonilco, Catedral de Chilpancingo, La Tercena, Meztitlán, Templo y ex convento  de los santos reyes, Meztitlan, Templo San Agustín, Tepatetipa, Municipio de Meztitlan, Templo de Santa Mónica, Guadalajara, Parroquia de Nuestra Señora de la Natividad, Tepoztlán, Templo de Santa Catarina Virgen y Mártir, Santa Catarina Lachatao, Ixtlán, Puente Histórico en Tequixtepc, Distrito de Coixtlahuac, Templo de San José Centro Histórico de Puebla, Templo de Santa Clara de Atlixco, Templo de la Candelaria, Sacalaca, Municipio de José María Morelos, Templo de Santiago Apóstol, Tacotalpa, Villa de Tapijulapa, Templo de San Pedro y Apóstol, Huayacocotla, Templo de San pedro y San Pablo, Soluta, Templo y Antiguo Convento de Santa Clara, Dzidzantún) de  los cuales solamente se liberaron dos que corresponden  Palacio Nacional y  la Catedral y Sagrario Metropolitana.   ¿     Efecto: Se realizaron, proyectos y obras tendientes a proteger, conservar y restaurar el patrimonio cultural en los monumentos históricos de propiedad federal, asimismo, en forma cuantitativa y cualitativa el patrimonio cultural para determinar su estado de conservación y las necesidades de intervención que posibilitaron establecer jerarquías y prioridades e integrar programas de actuación, administración y control. Se brindó  permanentemente servicio de asistencia técnica y de apoyo a los estados, municipios y comunidades, con objeto de propiciar la participación local a través de una adecuada y oportuna atención en el desarrollo de proyectos y obras de restauración.       Otros Motivos:Para mayor información acerca de las causas de las variaciones entre la meta alcanzada y la meta original del indicador consultar el documento Análisis del Cumplimiento de los Indicadores para Resultados de la Secretaría de Educación Pública, correspondiente a la Cuenta de la Hacienda Pública Federal 2013. </t>
    </r>
  </si>
  <si>
    <r>
      <t xml:space="preserve">Porcentaje de obra artística restaurada
</t>
    </r>
    <r>
      <rPr>
        <sz val="10"/>
        <rFont val="Soberana Sans"/>
        <family val="2"/>
      </rPr>
      <t xml:space="preserve"> Causa : El INBA reporta que con respecto a la meta modificada este indicador tiene un cumplimiento de 132.83%.  La actividad de Obra artística conservada o restaurada se desarrolla a solicitud de particulares o solicitudes de áreas del propio Instituto, como son los museos. En el año estas solicitudes se incrementaron y se logró atenderlas en su totalidad.              Efecto: El INBA reporta que  con el resultado se contribuyó eficientemente a la preservación del patrimonio cultural mueble, en cumplimiento de los objetivos generados en uno de los ejes de la política cultural "Patrimonio y diversidad cultural" establecido en el Programa Nacional de Cultura Otros Motivos:</t>
    </r>
  </si>
  <si>
    <r>
      <t xml:space="preserve">Porcentaje de Dictámenes y Asesorías técnicas relativas a proyectos de intervención a bienes inmuebles de propiedad federal a realizar en el año
</t>
    </r>
    <r>
      <rPr>
        <sz val="10"/>
        <rFont val="Soberana Sans"/>
        <family val="2"/>
      </rPr>
      <t xml:space="preserve"> Causa : El CONACULTA reporta que e rebaso la meta programada en 194.22%, conforme a lo que se tenía programado para este año, debido a la atención de solicitudes recibidas de asesorías y dictámenes técnicos de inmuebles y/o muebles de propiedad federal procedentes de las tres instancias de gobierno, de asociaciones religiosas y/o civiles y de comunidades, para dictaminar y evaluar el estado actual de conservación de los inmuebles, sobre todo, derivado de los acontecimientos por inundaciones que está padeciendo en el país, en los siguientes estados Edo. de México, Guerrero, Puebla, Oaxaca, Veracruz, Guanajuato y Morelos alcanzando a la fecha 518 procesos de gestión.              Efecto: El CONACULTA Establece condiciones integrales de desarrollo con en el entorno social, natural y urbano de los sitios y monumentos culturales y artísticos del país, que generen una nueva perspectiva en las labores de restauración y conservación de los mismos. Propiciar la valoración social de los monumentos históricos y artísticos, muebles e inmuebles que conforman el acervo cultural edificado, que favorezca la participación de la sociedad organizada y los gobiernos, federales, estatales y municipales en la conservación y custodia del patrimonio cultural. Ofrecer espacios, bienes y servicios culturales de calidad es hacer que la amplia infraestructura de servicios y espacios culturales instalada en el país mejore sustancialmente sus condiciones para elevar la calidad de la atención que ofrece a la población y a los sectores profesionales vinculados con la actividad cultural nacional Otros Motivos:</t>
    </r>
  </si>
  <si>
    <r>
      <t xml:space="preserve">Porcentaje de sitios arqueológicos y monumentos históricos registrados con respecto a los programados.
</t>
    </r>
    <r>
      <rPr>
        <sz val="10"/>
        <rFont val="Soberana Sans"/>
        <family val="2"/>
      </rPr>
      <t xml:space="preserve"> Causa : El INAH reporta que la meta se superó apenas un 1.27%, debido a que se intensifico el registro de sitios arqueológicos superando la meta programada.  Algunos de los estados en los que se realizó esta actividad fueron: Baja California, Baja California Sur, Campeche, Chihuahua, Durango, Hidalgo, Jalisco, México, Michoacán, Nayarit, Oaxaca, Puebla, San Luis Potosí, Sonora, Veracruz, Zacatecas, y sobresalen Sinaloa con 71 sitios y Sonora con 74, destacando el trabajo realizado en la presa Los Pilares. Acerca de la inscripción de Inmuebles Históricos en la DRPMZAH, se realizaron en el Distrito Federal,  Jalisco, Nuevo León, San Luis Potosí, Sonora y Zacatecas.           Efecto: El INAH reporta un efecto positivo para la conservación del patrimonio, ya que se registró la totalidad de solicitudes presentadas por terceros, así como del resultado de investigaciones. Otros Motivos:</t>
    </r>
  </si>
  <si>
    <r>
      <t xml:space="preserve">Porcentaje de restauración de murales con respecto a los metros cuadrados de murales registrados y de nuevo registro
</t>
    </r>
    <r>
      <rPr>
        <sz val="10"/>
        <rFont val="Soberana Sans"/>
        <family val="2"/>
      </rPr>
      <t xml:space="preserve"> Causa : El alcance de este indicador depende de la solicitudes de terceros para la conservación, restauración y preservación de pintura mural a nivel nacional e inclusive, en algunos casos  internacional. En el ejercicio de 2013 las solicitudes recibidas sobrepasaron las expectativas programadas, además de que se logró atender con oportunidad el total de ellas. Efecto: Con el resultado se contribuyó eficientemente a la preservación del patrimonio cultural, en cumplimiento de los objetivos generados en uno de los ejes de la política cultural "Patrimonio y diversidad cultural" establecido en el Programa Nacional de Cultura. Otros Motivos:</t>
    </r>
  </si>
  <si>
    <r>
      <t xml:space="preserve">Porcentaje de material fonográfico digitalizado
</t>
    </r>
    <r>
      <rPr>
        <sz val="10"/>
        <rFont val="Soberana Sans"/>
        <family val="2"/>
      </rPr>
      <t xml:space="preserve"> Causa : El CONACULTA reporta que  a través del proceso correspondiente se digitalizaron 13,472 horas equivalentes a 24,033 soportes (discos, cintas magnéticas de carrete abierto, casetes, discos compactos, cintas de audio digital, entre otros). El resultado obtenido en este indicador de gestión representó un porcentaje de cumplimiento del 96.23% respecto a la meta programada debido a que en el último trimestre del año se digitalizaron soportes con alto grado de dificultad, los cuales requieren de atención especializada y de mayor tiempo.              Efecto: El CONACULTA reporta que  la mayor parte del acervo sonoro del país se encuentra en soportes analógicos, los cuales sufren un deterioro físico químico importante al no encontrase bajo las condiciones de temperatura y humedad adecuadas. Razón por la cual dicho material sonoro debe de transferirse de su actual plataforma analógica a digital, lo cual implica utilizar herramientas y plataformas tecnológicas de punta, así como seguir un proceso complejo que incluye la preparación de los soportes, su digitalización y la revisión de calidad basada en diversos parámetros que arroja la propia digitalización. Otros Motivos:</t>
    </r>
  </si>
  <si>
    <r>
      <t xml:space="preserve">Tasa de variación de documentos sonoros catalogados con respecto al año anterior
</t>
    </r>
    <r>
      <rPr>
        <sz val="10"/>
        <rFont val="Soberana Sans"/>
        <family val="2"/>
      </rPr>
      <t xml:space="preserve"> Causa : El CONACULTA reporta que la meta fue rebasada  en un 13.84%, debido a la mejora en los procesos,  al catalogarse 61,930 documentos sonoros, destacando el avance en los catálogos temáticos establecidos en años anteriores y que año con año se nutren con nuevos documentos: Música de Concierto, Música Mexicana de Concierto, Música Popular y Tradicional Mexicana, Rock Mexicano, Radio y Periodismo Sonoro.               Efecto: El CONACULTA reporta que la fonoteca ha reunido importantes acervos: que documentan los inicios de la reproducción en serie de la música popular mexicana (1900-1950) y una amplia colección de fonogramas de música popular y tradicional del mundo. El núcleo del acervo lo constituyen grabaciones de campo realizadas por los investigadores de la misma institución y de otros centros de investigación entre 1960 y 1997 y un rico archivo sonoro de historia y tradición oral. Los documentos sonoros son debidamente catalogados de acuerdo a los lineamientos establecidos por las instituciones miembros del Seminario de Fonotecas (El Colegio de México, Instituto Nacional Indigenista, Escuela Nacional de Antropología e Historia, Dirección General de Culturas Populares, Radio Educación, Centro Nacional de Documentación e Información Musical-INBA). Otros Motivos:</t>
    </r>
  </si>
  <si>
    <r>
      <t xml:space="preserve">Porcentaje de sitios arqueológicos delimitados
</t>
    </r>
    <r>
      <rPr>
        <sz val="10"/>
        <rFont val="Soberana Sans"/>
        <family val="2"/>
      </rPr>
      <t xml:space="preserve"> Causa : El INAH reporta que la meta se superó un 37.5% debido a que la delimitación de sitios arqueológicos se realiza a petición de las coordinaciones nacionales, las cuales solicitaron la inclusión de 3 zonas más durante el primer trimestre de 2013.           Efecto: El INAH informa que el avance en la delimitación de sitios arqueológicos para su conservación, resguardo y estudio.            Otros Motivos:</t>
    </r>
  </si>
  <si>
    <r>
      <t xml:space="preserve">Porcentaje de fichas actualizadas de bienes catalogados
</t>
    </r>
    <r>
      <rPr>
        <sz val="10"/>
        <rFont val="Soberana Sans"/>
        <family val="2"/>
      </rPr>
      <t xml:space="preserve"> Causa : El INAH reporta que el porcentaje tan alto de variación se debe a que al ser este indicador una meta del Programa de Egresos de la Federación (PEF), la Secretaría de Hacienda y Crédito Público (SHCP) no permite modificar la programación.  Por otra parte, se cuenta con la información fidedigna de las fichas de 2,092 inmuebles, lo cual ayuda a su identificación y protección.         Efecto: El INAH informa que ayuda a la identificación y protección de los monumentos históricos.         Otros Motivos:</t>
    </r>
  </si>
  <si>
    <t>E021</t>
  </si>
  <si>
    <t>Investigación científica y desarrollo tecnológico</t>
  </si>
  <si>
    <t>3 - Desarrollo Económico</t>
  </si>
  <si>
    <t>8 - Ciencia, Tecnología e Innovación</t>
  </si>
  <si>
    <t>1 - Investigación Científica</t>
  </si>
  <si>
    <t>14 - Investigación en diversas instituciones de educación superior</t>
  </si>
  <si>
    <t>Contribuir al impulso de los diversos sectores de la economía nacional a través del desarrollo de proyectos de investigación científica, tecnológica y humanística.</t>
  </si>
  <si>
    <r>
      <t>Porcentaje de proyectos de investigación vinculados con los diversos sectores de la economía nacional, respecto a lo proyectos de investigación en desarrollo</t>
    </r>
    <r>
      <rPr>
        <i/>
        <sz val="10"/>
        <color indexed="30"/>
        <rFont val="Soberana Sans"/>
        <family val="3"/>
      </rPr>
      <t xml:space="preserve">
</t>
    </r>
  </si>
  <si>
    <t>(Número de proyectos de investigación científica, tecnológica y humanística vinculados con los diversos sectores de la economía nacional en el año N / Total de proyectos de investigación científica, tecnológica y humanística en desarrollo en el año N) * 100</t>
  </si>
  <si>
    <t>La planta de investigadores mejoran sus niveles de productividad en investigación científica, tecnológica y humanística.</t>
  </si>
  <si>
    <r>
      <t>Razón de productividad de la planta de investigadores</t>
    </r>
    <r>
      <rPr>
        <i/>
        <sz val="10"/>
        <color indexed="30"/>
        <rFont val="Soberana Sans"/>
        <family val="3"/>
      </rPr>
      <t xml:space="preserve">
Indicador Seleccionado</t>
    </r>
  </si>
  <si>
    <t>(Número de publicaciones arbitradas en el año N / Número de investigadores registrados en el año N)</t>
  </si>
  <si>
    <t>Razón</t>
  </si>
  <si>
    <t>A Los proyectos de investigación están en desarrollo y/o con resultados publicados</t>
  </si>
  <si>
    <r>
      <t>Tasa de crecimiento de las investigaciones publicadas respecto al año anterior</t>
    </r>
    <r>
      <rPr>
        <i/>
        <sz val="10"/>
        <color indexed="30"/>
        <rFont val="Soberana Sans"/>
        <family val="3"/>
      </rPr>
      <t xml:space="preserve">
Indicador Seleccionado</t>
    </r>
  </si>
  <si>
    <t>((Número de investigaciones publicadas en el año N / Número de investigaciones publicadas en el año N-1) - 1) * 100</t>
  </si>
  <si>
    <r>
      <t>Proyectos de Investigación en Desarrollo</t>
    </r>
    <r>
      <rPr>
        <i/>
        <sz val="10"/>
        <color indexed="30"/>
        <rFont val="Soberana Sans"/>
        <family val="3"/>
      </rPr>
      <t xml:space="preserve">
</t>
    </r>
  </si>
  <si>
    <t>Sumatoria de proyectos de investigación que se encuentran en desarrollo</t>
  </si>
  <si>
    <t>Proyecto</t>
  </si>
  <si>
    <t>A 1 Realización de eventos para impulsar la investigación en la comunidad académica.</t>
  </si>
  <si>
    <r>
      <t>Tasa de crecimiento de eventos académicos realizados</t>
    </r>
    <r>
      <rPr>
        <i/>
        <sz val="10"/>
        <color indexed="30"/>
        <rFont val="Soberana Sans"/>
        <family val="3"/>
      </rPr>
      <t xml:space="preserve">
</t>
    </r>
  </si>
  <si>
    <t>((Número de eventos académicos realizados en el año N / Número de eventos académicos realizados en el año N-1) - 1) * 100</t>
  </si>
  <si>
    <t>A 2 Informes de proyectos de investigación verificados administrativamente.</t>
  </si>
  <si>
    <r>
      <t>Porcentaje de los informes anuales verificados de los proyectos de investigación</t>
    </r>
    <r>
      <rPr>
        <i/>
        <sz val="10"/>
        <color indexed="30"/>
        <rFont val="Soberana Sans"/>
        <family val="3"/>
      </rPr>
      <t xml:space="preserve">
</t>
    </r>
  </si>
  <si>
    <t>(Número de informes anuales verificados de proyectos de investigación en el año N / Número de proyectos de investigación en desarrollo en el año N) * 100</t>
  </si>
  <si>
    <t>A 3 Equipamiento de los centros de investigación del Instituto Politécnico Nacional</t>
  </si>
  <si>
    <r>
      <t xml:space="preserve">Porcentaje de atención en equipamiento a los Centros de investigación en el nivel Ciencia y tecnología del IPN , con respecto al total de Centros de Investigación  </t>
    </r>
    <r>
      <rPr>
        <i/>
        <sz val="10"/>
        <color indexed="30"/>
        <rFont val="Soberana Sans"/>
        <family val="3"/>
      </rPr>
      <t xml:space="preserve">
</t>
    </r>
  </si>
  <si>
    <t>(Centros de investigación equipados en el año N / Total de centros de investigación del Instituto Politécnico Nacional) * 100</t>
  </si>
  <si>
    <t>A 4 Proporcionar servicios de mantenimiento a equipos e inmuebles de los laboratorios de los Centros de Investigación del Instituto Politécnico Nacional.</t>
  </si>
  <si>
    <r>
      <t>Porcentaje de servicios de mantenimiento realizados a los Centros de Investigación, respecto al total de solicitudes recibidas.</t>
    </r>
    <r>
      <rPr>
        <i/>
        <sz val="10"/>
        <color indexed="30"/>
        <rFont val="Soberana Sans"/>
        <family val="3"/>
      </rPr>
      <t xml:space="preserve">
</t>
    </r>
  </si>
  <si>
    <t>(Servicios de mantenimiento realizados a los Centros de Investigación en el año N /Total de servicios de mantenimiento solicitados por los Centros de Investigación en el año N) x 100</t>
  </si>
  <si>
    <t>A 5 Apoyos entregados al desarrollo de investigaciones.</t>
  </si>
  <si>
    <r>
      <t>Porcentaje de proyectos de investigación con apoyo autorizado</t>
    </r>
    <r>
      <rPr>
        <i/>
        <sz val="10"/>
        <color indexed="30"/>
        <rFont val="Soberana Sans"/>
        <family val="3"/>
      </rPr>
      <t xml:space="preserve">
</t>
    </r>
  </si>
  <si>
    <t>(Número de investigaciones con apoyo autorizado en el año N / Total de proyectos presentados en el año N) * 100</t>
  </si>
  <si>
    <r>
      <t xml:space="preserve">Porcentaje de proyectos de investigación vinculados con los diversos sectores de la economía nacional, respecto a lo proyectos de investigación en desarrollo
</t>
    </r>
    <r>
      <rPr>
        <sz val="10"/>
        <rFont val="Soberana Sans"/>
        <family val="2"/>
      </rPr>
      <t xml:space="preserve"> Causa : A00: El indicador no presenta variaciones respecto a lo programado. A2M:El avance en este indicador se debe principalmente a los siguientes factores:  I. Se incrementó la incorporación de investigadores al SNI (1,061) y consecuentemente el número actividades de investigación.  II.Fortalecimiento de Cuerpos Académicos consolidados y en consolidación. Al cierre de 2013, se registraron 81 consolidados y 96 en consolidación. A3Q: Se reflejo un porcentaje de cumplimiento del indicador de 169.52 por ciento, ello como resultado del interés y compromiso institucional que tiene esta Casa de Estudios por impulsar y fortalecer la investigación científica y el desarrollo tecnológico en nuestro país, así como coadyuvar y dar respuesta a las necesidades y requerimientos de las demandas de los diversos sectores de la economía nacional. B00: La desviación que se presenta entre la meta alcanzada con respecto a la meta programada se debe a que se aprobaron los proyectos de la convocatoria "Proyectos para la Innovación IPN 2013", sumados a los proyectos del Programa Especial de Consolidación y Formación de Grupos de Investigación en el segundo trimestre. L3P: La meta fue cumplida al 100%, debido a que al cierre del ejercicio, se contaban con 2 proyectos vinculados con el sector tecnológicos del estado de Jalisco.  L4J: Se cumplió en su totalidad la meta anual programada con 8 proyectos vinculados con los diversos sectores de la economía, lo que representa el 100 por ciento de la meta. La variación se debe al interés de los diversos sectores de la economía nacional para el desarrollo de proyectos de investigación por parte de los investigadores del Cinvestav.    L8K: La institución cumple sus objetivos debido a la calidad de los proyectos de investigación que permiten a las diversas instituciones públicas y privadas solicitar los servicios para la realización de proyectos de investigación realizados por la comunidad de El Colegio de México.  Efecto: A00:Se refleja el impacto de la investigación que se lleva a cabo, mediante la relación directa y la colaboración con diferentes instituciones del sector de la economía nacional. Lo cual promueve la puesta en marcha de nuevos proyectos con miras a las necesidades de la sociedad. A2M:Los efectos socioeconómicos del nivel fin son los siguentes: I.Fomento en el desarrollo de patentes. II.Mayor participación en la solución de problemas nacionales, mediante convenios de colaboración con los sectores productivos, de gobierno y con la sociedad civil. A3Q:Los beneficios económicos y sociales de este indicador de fin, contribuyen al incremento y fortalecimiento de la capacidad científica, tecnológica y humanística mediante el desarrollo de proyectos de investigación que impacten en la productividad de la economía nacional y en la solución de problemas de relevancia social. B00:Se ha logrado una mayor participación del personal académico en las actividades de investigación, se espera contar con un mayor número de productos de la investigación. Con la Convocatoria de proyectos para la innovación se lograron incorporar proyectos que anteriormente no eran atendidos e incrementarán los productos relativos a propiedad intelectual. L3P:Los principales impactos , es en la innovación tecnológica de la región, así como a los estudiantes del centro, quienes pueden participar en el desarrollo de los mismos, con la supervisión de los investigadores, que son sus profesores. L4J:Con los beneficios económicos y sociales alcanzados con este indicador, se logró incrementar la generación de conocimiento científico y tecnológico aplicado, en las áreas de la ciencia que se cultivan en este Centro de Investigación; que impacten en la productividad de la economía nacional y en la solución de problemas de relevancia social y ecológica. L8K:El cumplir con los proyectos de investigación tiene un efecto positivo en la vinculación de la investigación con los diversos sectores de la economía.        Otros Motivos:</t>
    </r>
  </si>
  <si>
    <r>
      <t xml:space="preserve">Razón de productividad de la planta de investigadores
</t>
    </r>
    <r>
      <rPr>
        <sz val="10"/>
        <rFont val="Soberana Sans"/>
        <family val="2"/>
      </rPr>
      <t xml:space="preserve"> Causa : Al cierre del año, este indicador logró una meta de 1.31%, que se traduce en  12 428 publicaciones por medio de 9 493 investigadores registrados, lo que representa un porcentaje de cumplimiento de 109.17% respecto a la meta aprobada programada. Las UR´s: 513, reporta 496 publicaciones arbitradas, con lo cual cumplió en 100.0% la meta programada para este año; A00 logró 43 publicaciones arbitradas en 2013; A2M  logró alcanzar 4 346 publicaciones arbitradas en 2013, con 3 535 investigadores; A3Q logró una meta de 2.09%, equivalente a 4 997 publicaciones; B00 realizó 1133 publicaciones arbitradas, mediante 1 220 docentes; D00 logró 65 investigaciones arbitradas con una planta de 866 docentes; L3P logro 2 publicaciones arbitradas para 2013; L4J superó la meta anual, alcanzando un total de 1241 publicaciones arbitradas; L8K logró 70 publicaciones arbitradas con una planta de 248 docentes; La Universidad Autónoma Agraria Antonio Narro reporta haber alcanzado su meta para 2013 al 100.0%, al lograr 35 publicaciones arbitradas, a través de 50 investigadores registrados. Efecto: 513:Los investigadores pueden formar parte del Sistema Nacional de Investigadores, los artículos publicados son de impacto científico y tecnológico a nivel nacional e internacional. A00:Los resultados de los proyectos de investigación son una manera de acercar la ciencia y el conocimiento al público en general. A2M:Los efectos socioeconómicos son la difusión del conocimiento que se genera en el ámbito nacional e internacional, y ampliar las bases para un desarrollo científico y tecnológico propio. A3Q:Los beneficios consisten  en que la población tenga conocimiento de los resultados de las investigaciones, tanto en el aspecto humanístico, tecnológico y científico, lo que se ha logrado con el incremento en el número de publicaciones arbitradas.  B00:Se tiene un impacto positivo ya que este indicador es un referente importante para el posicionamiento entre Instituciones a nivel internacional. D00:Las investigaciones aportan conocimiento en los campos materia del Instituto. L3P:Las publicaciones arbitradas sirven para dar respuesta a problemas específicos e impactar directamente en la sociedad. L4J:Contribuyó al incremento y fortalecimiento de la capacidad científica, tecnológica y humanística que impacta en la productividad de la economía nacional, los resultados en los proyectos, son en su totalidad relevantes. L8K:Cumple con los fines de organizar y realizar investigaciones en los campos de especialidad de los Centros que lo integran, así como editar libros y revistas sobre materias relacionadas con sus actividades. MGH:Motivó a la planta docente para seguir participando dentro Sistema Nacional de Investigadores y los alumnos de las diferentes Divisiones de la Universidad han permanecido en dicho esquema.  Otros Motivos:Para mayor información acerca de las causas de las variaciones entre la meta alcanzada y la meta original del indicador consultar el documento Análisis del Cumplimiento de los Indicadores para Resultados de la Secretaría de Educación Pública, correspondiente a la Cuenta de la Hacienda Pública Federal 2013. </t>
    </r>
  </si>
  <si>
    <r>
      <t xml:space="preserve">Tasa de crecimiento de las investigaciones publicadas respecto al año anterior
</t>
    </r>
    <r>
      <rPr>
        <sz val="10"/>
        <rFont val="Soberana Sans"/>
        <family val="2"/>
      </rPr>
      <t xml:space="preserve"> Causa : Al cierre del año, este indicador registró un incremento de 4.92% respecto al año anterior, lo que representa un total de 11 400 investigaciones publicadas en 2013, cifra superior en 535 publicaciones a lo alcanzado en 2012.513:Menciona que se superó la meta aprobada al alcanzar un total de 496 investigaciones publicadas, cifra superior en 4.2% respecto al año anterior. A3Q:Reporta un total de 7853 investigaciones publicadas,lo que equivale a un incremento anual de 3.63%, como resultado principalmente del compromiso institucional de esta Casa de Estudios para impulsar y fortalecer la investigación científica y tecnológica, así como al interés por parte de los investigadores para que sus investigaciones sean publicadas y con ello dar difusión de sus resultados y logros. B00:Reportó un total de 1 133 investigaciones publicadas, lo que se traduce en un crecimiento de 12.74% respecto al número de investigaciones publicadas el año anterior, lo cual obedece a que se ha fomentado la publicación en revistas de carácter internacional. L3P:Informa que publicó 5 investigaciones en el año, lo que significa que mantuvo el nivel de publicaciones con respecto a 2012. L4J:Registra que al cierre del año se reportaron 1 619 publicaciones, con lo cual se superó en 7.3%lo realizado el año anterior. Este comportamiento se explica por la alta calidad de la investigación científica y tecnológica que realizan los investigadores del Cinvestav, así como por la constante presencia del Cinvestav, en los más importantes foros de discusión científica, nacionales e internacionales. L8K:Señala un cumplimiento inferior a lo alcanzado en 2012 en 2.8%; para 2013 se publicaron 70 investigaciones que permitieron al Colegio cumplir con su objetivo de mantener la difusión de sus investigaciones a través del programa editorial.  MGH:Reporta que alcanzó la meta para 2013 de publicar 224 investigaciones, lo que significa un incremento de 1.8% respecto a lo realizado en 2012.  Efecto: Sistema Nacional de Investigadores, e ir subiendo su nivel; por otra parte, los artículos publicados son de impacto científico y tecnológico a nivel nacional e internacional. A3Q:Señala que los resultados alcanzados permiten a la población en general tener conocimiento de los resultados de las investigaciones realizadas por la planta de investigadores de la UNAM, tanto en el aspecto científico, tecnológico y humanístico, logrando en ello la difusión del conocimiento generado, coadyuvando en la solución de las diferentes problemáticas que aquejan a nuestra sociedad.  B00:Comenta que tiene un impacto positivo ya que este indicador es un referente importante para el posicionamiento entre Instituciones a nivel internacional. L3P:Señala que contar con una planta de investigadores que realicen tanto labores de investigación como de docencia,  permite a los estudiantes, poder participar en proyectos, acompañando a sus profesores y formarlos como futuros investigadores. L4J:Contribuyó al incremento y fortalecimiento de la capacidad científica, tecnológica y humanística que impacta en la productividad de la economía nacional mediante soluciones de problemas de relevancia en sus diversos sectores, además de que los resultados en los proyectos terminados o en desarrollo, son en su totalidad relevantes por los alcances académicos, la formación de recursos humanos de alta calidad y la contribución del conocimiento que cada uno de éstos puede generar.       L8K:Señala que con los recursos asignados a esta actividad, la institución cumple con los fines de publicar y difundir la investigación en los campos de especialidad de los Centros que la integran. MGH:Benefició a Profesores-Investigadores, otorgándoles el apoyo requerido para lograr publicar resultados de investigación.  Otros Motivos:Para mayor información acerca de las causas de las variaciones entre la meta alcanzada y la meta original del indicador consultar el documento Análisis del Cumplimiento de los Indicadores para Resultados de la Secretaría de Educación Pública, correspondiente a la Cuenta de la Hacienda Pública Federal 2013. </t>
    </r>
  </si>
  <si>
    <r>
      <t xml:space="preserve">Proyectos de Investigación en Desarrollo
</t>
    </r>
    <r>
      <rPr>
        <sz val="10"/>
        <rFont val="Soberana Sans"/>
        <family val="2"/>
      </rPr>
      <t xml:space="preserve"> Causa : 513:Se alcanza la meta establecida. 600:La diferenciase debe a que el numero de proyectos apoyados en 2013 esta directamente relacionado con los recursos autorizados , el cual se redujo en 9.5% y la meta se programo con un aumento del 40% en relación a 2012. 611:Debido a que se publicó y se mantuvo la convocatoria para que docentes y alumnos de todos los planteles de la DGETI participen en el Congreso Internacional de Investigación y Desarrollo Tecnológico y a la gran aceptación porparte de los mismos, se logró recibir 495 proyectos de investigación. A00:El indicador se cumple con un proyecto adicional a los programados, esto debido a la aprobación de financiamiento para la puesta en marcha de un proyecto mas. A2M:Factores: I.Incremento de los proyectos por convenios de colaboración con diversos sectores de la economía  II.Planeación adecuada de los proyectos de investigación de la Institución A3Q:Se obtuvo cifra inferior a la estimada derivado de que la tendencia en la investigación actual es multidisciplinaria, lo que implicó demanda de más recursos, que impacta en el número de proyectos, se implemento el Programa especial de jubilación lo que derivo en un número menor de investigadores y por consiguiente de investigaciones. D00:Se presentan los proyectos de investigación conforme a: avances sobre la temática estudiada, desarrollo de sus campos de conocimiento y fenómenos sociales contemporáneos; de ello pueden desprenderse proyectos de nueva creación, o reducción de los mismos. L3P:El programa tuvo reservas en todos los capítulos de gasto, excepto el capítulo 1000  lo que provocó que de 5 proyectos autorizados sólo pudieran concretarse 4. L4J:Este comportamiento se explica por los constantes apoyos otorgados por las diferentes instancias financiadoras nacionales e internacionales. L8K:Cumplimiento de la meta conforme a lo programado. MGH:No existe variación ya que se alcanza la meta programada de 270 proyectos de investigación en desarrollo.          Efecto: 513: 600:Se apoyaron 60 proyectos de investigación. 611:Con la participación de docentes y alumnos  de la DGETI se lograron recibir 495 proyectos de investigación y desarrollo tecnológico, con lo cual se fomentó la disciplina y capacitación en actividades de investigación y desarrollo tecnológico, lo cual es benefico para la sociedad mexicana y para el desarrollo de México. A00:El desarrollo de proyectos de investigación, es una de las actividades prioritarias, lo cual contribuye al objetivo de elevar la calidad de la educación, la generación de conocimiento y la participación de estudiantes en proyectos de investigación. A2M:Efectos I.Contribuir al desarrollo tecnológico de los sectores productivos y de servicios mediante la aplicación de nuevos conocimientos que mejoren sus procesos.  II.Ampliar las bases para un desarrollo científico y tecnológico propio.  III.Contribuir a la solución de problemas nacionales. A3Q:Permitió desarrollar investigación en los ámbitos científico, humanístico y tecnológico, coadyuvando a la posibilidad de nuevos descubrimientos y resultados que permitan o apoyen en la solución de las diferentes problemáticas que aquejan a nuestro país y al mundo. D00:Mayor delimitación de las investigaciones y mejor distribución de los recursos. L3P:Contar con una planta de investigadores, que realicen tanto labores de investigación como de docencia, permite a los estudiantes, participar en proyectos y formarlos como futuros investigadores. L4J:Se logró incrementar la generación de conocimiento científico básico y aplicado, en las áreas de la ciencia; que impacten en la productividad de la economía nacional y en la solución de problemas de relevancia social y ecológica. L8K:Tiene un efecto positivo al financiar el desarrollo de investigaciones, logrando participación de los investigadores en temas actuales y de interés nacional e internacional. MGH: Motivó a Profesores-Investigadores a través de apoyo económico a desarrollar sus investigaciones.      Otros Motivos:</t>
    </r>
  </si>
  <si>
    <r>
      <t xml:space="preserve">Tasa de crecimiento de eventos académicos realizados
</t>
    </r>
    <r>
      <rPr>
        <sz val="10"/>
        <rFont val="Soberana Sans"/>
        <family val="2"/>
      </rPr>
      <t xml:space="preserve"> Causa : 513:El evento no se realizó con recursos del programa por no haber sido autorizado el uso de recursos para la organización de eventos. 611:Cada año se programan 2 eventos con los cuales se promueve y propicia la investigación y desarrollo tecnológico en los planteles de la DGETI, Se realizaron los dos eventos, denominados "XV Concurso Nacional de Prototipos 2013"  y el "III Congreso Internacional de Investigación y Desarrollo Tecnológico 2013" A00:La meta alcanzada presenta una tasa de crecimiento del 50% respecto al año anterior, en que se reportó la realización de 6 eventos académicos. A2M:Factores:  I.Mayor interés de la comunidad académica por difundir los productos de su trabajo de investigación.  II.Una mayor diversidad de medios y formatos para divulgar los eventos académicos programados durante el año. A3Q:Se cumplió como resultado del interés y compromiso institucional que tiene esta Casa de Estudios por impulsar y fortalecer la investigación científica y el desarrollo tecnológico en nuestro país, así como difundir los logros y descubrimientos de la investigación en México y el mundo. L3P:Se presentaron 2 eventos de difusión a toda la comunidad académica del CETI. L8K:El cumplimiento se debió a un incremento de las actividades académicas que promueven el análisis de los problemas actuales y la difusión de los avances académicos en las ciencias sociales y humanidades. MGH:No existe variación en la meta programada al alcanzar las 40 participaciones de estudiantes en el verano de la ciencia.       Efecto: 513:Sin embargo no hubo impacto negativo dado que se organizaron eventos con otras fuentes de financiamiento. 611:Si propiciamos que docentes y alumnos a nivel medio superior adquieran la disciplina y conocimientos básicos para desarrollar investigación tecnológica será muy benéfico para ellos, para su comunidad y para la sociedad en general. A00:Mediante la realización de eventos académicos se acerca a la sociedad los avances y resultados de la investigación y motiva a los estudiantes a participar en ella. Los eventos de divulgación científica también son ocasión de colaboración insterinstitucional, debate y enriquecimiento mutuo. A2M:I.Contribuir al conocimiento de problemas que aquejan a sectores de la población y a posibles aplicaciones en beneficio de la misma. A3Q:Permitió difundir a la sociedad y comunidad investigadora el desarrollo, resultados y logros de las investigaciones tanto nacionales como internacionales en los ámbitos científico, humanístico y tecnológico, coadyuvando a la posibilidad de nuevos descubrimientos y resultados coadyuven en la solución de las diferentes problemáticas que aquejan al país y al mundo. L3P:Los eventos de académicos de divulgación científica y tecnológica, permiten a la comunidad académica , enterarse de los resultados obtenidos en la investigaciones realizadas; incentivan la investigación e innovación tecnológica en los estudiantes de Educación Media Superior y Superior de la región. L8K:Tiene un efecto económico positivo ya que a través de la optimización de los recursos asignados permitió apoyar un mayor número de actividades en beneficio de la población académica, estudiantil y público en general interesado en las áreas de conocimiento. MGH:Propiciar la interacción entre estudiantes e investigadores con vocación científica; Motivar a los estudiantes para que incorporen la investigación científica e Impulsar a los jóvenes con talento para su incorporación a los programas de investigación científica y tecnológica.       Otros Motivos:</t>
    </r>
  </si>
  <si>
    <r>
      <t xml:space="preserve">Porcentaje de los informes anuales verificados de los proyectos de investigación
</t>
    </r>
    <r>
      <rPr>
        <sz val="10"/>
        <rFont val="Soberana Sans"/>
        <family val="2"/>
      </rPr>
      <t xml:space="preserve"> Causa : B00: Con la finalidad de fomentar y elevar la calidad de las investigaciones se implementó el Programa de Consolidación y Formación de Grupos de Investigación, apoyando al personal académico con proyectos de investigación. L3P: La meta fue cumplida de acuerdo a lo programado, debido a que en el 2013, se realizaron 2 informes anuales verificados. Cabe mencionar que en el periodo que se reporta, el programa tuvo reservas en todos los capítulos de gasto, excepto el capítulo 1000. La reserva fue de $8,000,000.00 de pesos.  Efecto: B00: Con el Programa Especial de Consolidación y Formación de Grupos de Investigación se ha logrado una mayor participación del personal académico en las actividades de investigación, lo que a mediano plazo se espera contar con un mayor número de productos de la investigación. L3P: Los informes permiten incentivar la investigación e innovación tecnológica en los estudiantes de Educación Media Superior y Superior de la región.  Otros Motivos:</t>
    </r>
  </si>
  <si>
    <r>
      <t xml:space="preserve">Porcentaje de atención en equipamiento a los Centros de investigación en el nivel Ciencia y tecnología del IPN , con respecto al total de Centros de Investigación  
</t>
    </r>
    <r>
      <rPr>
        <sz val="10"/>
        <rFont val="Soberana Sans"/>
        <family val="2"/>
      </rPr>
      <t xml:space="preserve"> Causa : L6H: - Se superó la meta estimada, la explicación se debe a las economías que permitieron atender más laboratorios de investigación.  Efecto: L6H: El impacto socioeconómico, se mide directamente, con un incremento en la investigación que se desarrolla en el IPN.  Otros Motivos:</t>
    </r>
  </si>
  <si>
    <r>
      <t xml:space="preserve">Porcentaje de servicios de mantenimiento realizados a los Centros de Investigación, respecto al total de solicitudes recibidas.
</t>
    </r>
    <r>
      <rPr>
        <sz val="10"/>
        <rFont val="Soberana Sans"/>
        <family val="2"/>
      </rPr>
      <t xml:space="preserve"> Causa : L6H: - Se superó la meta programada, porque los servicios de mantenimiento se concluyeron en el tiempo establecido, lo que permitió obtener ahorros y economía y programar nuevas necesidades, solicitadas por los diferentes Centros de Investigación y Áreas Administrativas.  Efecto: L6H: El haber superado las metas incide directamente en la posibilidad de garantizar que los estudiantes del IPN cuenten con una mayor cantidad de equipos en Laboratorios de Investigación en óptimas condiciones en los cuales puedan realizar prácticas e investigaciones académicas que les permitan obtener las competencias necesarias en su preparación.  Otros Motivos:</t>
    </r>
  </si>
  <si>
    <r>
      <t xml:space="preserve">Porcentaje de proyectos de investigación con apoyo autorizado
</t>
    </r>
    <r>
      <rPr>
        <sz val="10"/>
        <rFont val="Soberana Sans"/>
        <family val="2"/>
      </rPr>
      <t xml:space="preserve"> Causa : 310: La meta se cumplió satisfactoriamente  513: Debido a que los recursos fueron insuficientes no fue posible apoyar a todos los proyectos presentados. 600: La demanda de proyectos presentados fue muy superior debido  a que se amplio el periodo de recepción. B00: Se solicitaron algunas prórrogas para la entrega de informes.  Efecto: 310: La cifra definitiva se conocer una ves que concluya la evaluación de calidad.  Con respecto a la meta alcanzada en 2012 de 12 proyectos de investigación de la Convocatoria SEP/SEB-CONACYT aprobados para su financiamiento alcanzado la meta este año se ve reducida por la falta de recursos para el financiamiento de proyectos de investigación.  513: Dado que no se apoyo a todos los proyectos, el impacto se reflejará en una menor productividad académica de los profesores investigadores. 600: Se apoyaron 60 proyectos de investigación. B00: El efecto de la variación es marginal.  Otros Motivos:</t>
    </r>
  </si>
  <si>
    <t>E062</t>
  </si>
  <si>
    <t xml:space="preserve">Programa de Educación inicial y básica para la población rural e indígena </t>
  </si>
  <si>
    <t>L6W-Consejo Nacional de Fomento Educativo</t>
  </si>
  <si>
    <t>1 - Educación Básica</t>
  </si>
  <si>
    <t>3 - Educación básica de calidad</t>
  </si>
  <si>
    <t>Contribuir a generar equidad educativa para los niños y jóvenes del país para combatir el rezago educativo en Educación Básica mediante la instalación y operación de los servicios educativos comunitarios y el fomento a la continuidad educativa</t>
  </si>
  <si>
    <r>
      <t>Porcentaje de alumnos de primarias comunitarias con un logro al menos elemental en la Prueba ENLACE de matemáticas</t>
    </r>
    <r>
      <rPr>
        <i/>
        <sz val="10"/>
        <color indexed="30"/>
        <rFont val="Soberana Sans"/>
        <family val="3"/>
      </rPr>
      <t xml:space="preserve">
</t>
    </r>
  </si>
  <si>
    <t>(Número de alumnos de primarias comunitarias con un logro académico al menos elemental en la Prueba de ENLACE de matemáticas en el año n / Número de alumnos de primarias comunitarias que presentan la Prueba de ENLACE de matemáticas en el año n) X 100</t>
  </si>
  <si>
    <r>
      <t>Cobertura de niños con servicios educativos comunitarios</t>
    </r>
    <r>
      <rPr>
        <i/>
        <sz val="10"/>
        <color indexed="30"/>
        <rFont val="Soberana Sans"/>
        <family val="3"/>
      </rPr>
      <t xml:space="preserve">
</t>
    </r>
  </si>
  <si>
    <t>Número de alumnos que son atendidos en Preescolar, Primaria y Secundaria en los servicios de educación comunitaria en el año n</t>
  </si>
  <si>
    <t>Niños y jóvenes que viven en localidades de rezago social, acceden a servicios educativos acordes a sus necesidades y características; permanecen y concluyen la Educación Básica</t>
  </si>
  <si>
    <r>
      <t>Porcentaje de niños y jóvenes en edad escolar que reciben los servicios educativos en localidades susceptibles de ser atendidas por el Programa de Educación Comunitaria</t>
    </r>
    <r>
      <rPr>
        <i/>
        <sz val="10"/>
        <color indexed="30"/>
        <rFont val="Soberana Sans"/>
        <family val="3"/>
      </rPr>
      <t xml:space="preserve">
Indicador Seleccionado</t>
    </r>
  </si>
  <si>
    <t>(Número de alumnos que son atendidos en los servicios de educación comunitaria en el año n / Total de niños y jóvenes en edad escolar que viven en localidades susceptibles de ser atendidas por el CONAFE en el año n) X 100</t>
  </si>
  <si>
    <t>A Servicios de Educación Básica operados</t>
  </si>
  <si>
    <r>
      <t xml:space="preserve">Número de servicios educativos en operación de Educación Básica </t>
    </r>
    <r>
      <rPr>
        <i/>
        <sz val="10"/>
        <color indexed="30"/>
        <rFont val="Soberana Sans"/>
        <family val="3"/>
      </rPr>
      <t xml:space="preserve">
</t>
    </r>
  </si>
  <si>
    <t>Total de servicios de Educación Básica en operación en el año n</t>
  </si>
  <si>
    <t>Servicio</t>
  </si>
  <si>
    <t>B Impulsar la participación de los padres y madres de familia para apoyar los servicios de Educación Básica en el ejercicio de la Contraloría Social</t>
  </si>
  <si>
    <r>
      <t>Asociaciones Promotoras de Educación Comunitaria con acciones  de Contraloría Social</t>
    </r>
    <r>
      <rPr>
        <i/>
        <sz val="10"/>
        <color indexed="30"/>
        <rFont val="Soberana Sans"/>
        <family val="3"/>
      </rPr>
      <t xml:space="preserve">
</t>
    </r>
  </si>
  <si>
    <t>Número de Asociaciones Promotoras de Educación Comunitaria  con acciones  de Contraloría Social en el año n</t>
  </si>
  <si>
    <t>Asociación</t>
  </si>
  <si>
    <t>C Beneficiarios del SED y Acércate a tu Escuela apoyados económicamente.</t>
  </si>
  <si>
    <r>
      <t>Número de beneficiarios del Sistema de Estudios a Docentes y Acércate a tu Escuela</t>
    </r>
    <r>
      <rPr>
        <i/>
        <sz val="10"/>
        <color indexed="30"/>
        <rFont val="Soberana Sans"/>
        <family val="3"/>
      </rPr>
      <t xml:space="preserve">
</t>
    </r>
  </si>
  <si>
    <t>Número de beneficiarios del Sistema de Estudios a Docentes (SED) y Acércate a tu Escuela en el año n</t>
  </si>
  <si>
    <t>Apoyo</t>
  </si>
  <si>
    <t>D Proponer y operar modelos técnico-pedagógicos que contribuyan a la mejora de los aprendizajes</t>
  </si>
  <si>
    <r>
      <t>Localidades con servicios comunitarios fortalecidos con Tutores Comunitarios de Verano, Asesores Pedagógico Itinerantes y Caravanas Culturales</t>
    </r>
    <r>
      <rPr>
        <i/>
        <sz val="10"/>
        <color indexed="30"/>
        <rFont val="Soberana Sans"/>
        <family val="3"/>
      </rPr>
      <t xml:space="preserve">
</t>
    </r>
  </si>
  <si>
    <t>Número de localidades con servicios comunitarios fortalecidos con Tutores Comunitarios de Verano, Asesores Pedagógicos Itinerantes o Caravanas Culturales</t>
  </si>
  <si>
    <t>Acción</t>
  </si>
  <si>
    <t>A 1 Lote de mobiliario</t>
  </si>
  <si>
    <r>
      <t>Lotes de mobiliario</t>
    </r>
    <r>
      <rPr>
        <i/>
        <sz val="10"/>
        <color indexed="30"/>
        <rFont val="Soberana Sans"/>
        <family val="3"/>
      </rPr>
      <t xml:space="preserve">
</t>
    </r>
  </si>
  <si>
    <t>Número de lotes de mobiliario entregados a los servicios educativos en el año n</t>
  </si>
  <si>
    <t>Lote</t>
  </si>
  <si>
    <t>A 2 Construcción y rehabilitación de espacios educativos y técnico-administrativos para mejorar los servicios</t>
  </si>
  <si>
    <r>
      <t>Número de acciones de construcción y/o rehabilitación de espacios educativos y técnico administrativos</t>
    </r>
    <r>
      <rPr>
        <i/>
        <sz val="10"/>
        <color indexed="30"/>
        <rFont val="Soberana Sans"/>
        <family val="3"/>
      </rPr>
      <t xml:space="preserve">
</t>
    </r>
  </si>
  <si>
    <t>Número de acciones de construcción y/o rehabilitación de espacios educativos y técnico administrativos en el año n</t>
  </si>
  <si>
    <t>A 3 Prestación del servicio educativo comunitario en las localidades objetivo del CONAFE</t>
  </si>
  <si>
    <r>
      <t>Figuras educativas en servicio</t>
    </r>
    <r>
      <rPr>
        <i/>
        <sz val="10"/>
        <color indexed="30"/>
        <rFont val="Soberana Sans"/>
        <family val="3"/>
      </rPr>
      <t xml:space="preserve">
</t>
    </r>
  </si>
  <si>
    <t>Número de figuras educativas en servicio en el año n del Programa de Educación Inicial y Básica para la Población Rural e Indígena en el año n</t>
  </si>
  <si>
    <t>Prestador de servicios</t>
  </si>
  <si>
    <t>A 4 Dotación de útiles escolares a los alumnos de Educación Básica</t>
  </si>
  <si>
    <r>
      <t>Alumnos beneficiados con útiles escolares</t>
    </r>
    <r>
      <rPr>
        <i/>
        <sz val="10"/>
        <color indexed="30"/>
        <rFont val="Soberana Sans"/>
        <family val="3"/>
      </rPr>
      <t xml:space="preserve">
</t>
    </r>
  </si>
  <si>
    <t>Número de alumnos beneficiados con útiles escolares en el año n</t>
  </si>
  <si>
    <t>Paquete de útiles escolares</t>
  </si>
  <si>
    <t>B 5 Padres y madres de familia capacitados para el ejercicio de la Contraloría Social</t>
  </si>
  <si>
    <r>
      <t>Porcentaje de Asociaciones Promotoras de Educación Comunitaria (APEC) capacitadas en materia de Contaloría Social</t>
    </r>
    <r>
      <rPr>
        <i/>
        <sz val="10"/>
        <color indexed="30"/>
        <rFont val="Soberana Sans"/>
        <family val="3"/>
      </rPr>
      <t xml:space="preserve">
</t>
    </r>
  </si>
  <si>
    <t>Número de Asociaciones Promotoras de Educación Comunitaria capacitadas / Número de Asociaciones Promotoras de Educación Comunitaria programadas</t>
  </si>
  <si>
    <t>Capacitación</t>
  </si>
  <si>
    <t>C 6 Programación y entrega de apoyos a beneficiarios del Sistema de Estudios a Docentes</t>
  </si>
  <si>
    <r>
      <t>Porcentaje de apoyo económico del Sistema de Estudios a Docentes programado y entregado</t>
    </r>
    <r>
      <rPr>
        <i/>
        <sz val="10"/>
        <color indexed="30"/>
        <rFont val="Soberana Sans"/>
        <family val="3"/>
      </rPr>
      <t xml:space="preserve">
</t>
    </r>
  </si>
  <si>
    <t>(Número de apoyos económicos del Sistema de Estudios a Docentes entregados en el año n / Número de apoyos económicos del Sistema de Estudios a Docentes programados en el año n) X 100</t>
  </si>
  <si>
    <t>C 7 Programación y entrega de apoyos económicos Acércate a tu Escuela a niños y niñas en edad escolar que habitan en comunidades en donde no existen servicios educativos requeridos de Educación Básica.</t>
  </si>
  <si>
    <r>
      <t>Porcentaje de apoyos económicos Acércate a tu Escuela entregados</t>
    </r>
    <r>
      <rPr>
        <i/>
        <sz val="10"/>
        <color indexed="30"/>
        <rFont val="Soberana Sans"/>
        <family val="3"/>
      </rPr>
      <t xml:space="preserve">
</t>
    </r>
  </si>
  <si>
    <t>(Apoyos económicos Acércate a tu Escuela entregados en el año n / Apoyos económicos Acércate a tu Escuela programados en el año n) X 100</t>
  </si>
  <si>
    <t>D 8 Tutores Comunitarios de Verano proporcionan apoyo a servicios educativos</t>
  </si>
  <si>
    <r>
      <t>Tutores Comunitarios de Verano</t>
    </r>
    <r>
      <rPr>
        <i/>
        <sz val="10"/>
        <color indexed="30"/>
        <rFont val="Soberana Sans"/>
        <family val="3"/>
      </rPr>
      <t xml:space="preserve">
</t>
    </r>
  </si>
  <si>
    <t>Número de Tutores Comunitarios de Verano que proporcionan apoyo a los servicios educativos comunitarios</t>
  </si>
  <si>
    <t>D 9 Caravanas Culturales en operación</t>
  </si>
  <si>
    <r>
      <t>Número de Caravanas Culturales en operación</t>
    </r>
    <r>
      <rPr>
        <i/>
        <sz val="10"/>
        <color indexed="30"/>
        <rFont val="Soberana Sans"/>
        <family val="3"/>
      </rPr>
      <t xml:space="preserve">
</t>
    </r>
  </si>
  <si>
    <t>Número de Caravanas Culturales en operación en el año n</t>
  </si>
  <si>
    <t>D 10 Asesores Pedagógicos Intinerantes que proporcinan apoyo a servicios educativos comunitarios</t>
  </si>
  <si>
    <r>
      <t>Asesores Pedagógicos Itinerantes en servicio</t>
    </r>
    <r>
      <rPr>
        <i/>
        <sz val="10"/>
        <color indexed="30"/>
        <rFont val="Soberana Sans"/>
        <family val="3"/>
      </rPr>
      <t xml:space="preserve">
</t>
    </r>
  </si>
  <si>
    <t>Número de Asesores Pedagógicos Intinerantes</t>
  </si>
  <si>
    <t>Figura educativa en servicio</t>
  </si>
  <si>
    <r>
      <t xml:space="preserve">Porcentaje de alumnos de primarias comunitarias con un logro al menos elemental en la Prueba ENLACE de matemáticas
</t>
    </r>
    <r>
      <rPr>
        <sz val="10"/>
        <rFont val="Soberana Sans"/>
        <family val="2"/>
      </rPr>
      <t xml:space="preserve"> Causa : Para el 2013, el Consejo Nacional de Fomento Educativo estableció el indicador estratégico Porcentaje de alumno evaluado, que mide la eficacia para contribuir a generar equidad educativa para los niños y jóvenes del país para combatir el rezago educativo en Educación Básica mediante la instalación y operación de los servicios educativos comunitarios y el fomento a la continuidad educativa. Esta meta corresponde al nivel de logro al menos elemental de los alumnos inscritos en los servicios de educación comunitaria del nivel de educación primaria, uno de los principales factores asociados al logro de esta meta, es la aplicación de prueba estandarizadas acordes a contenidos y planes curriculares que distan del modelo de educación comunitaria y los contextos socioeconómicos de los niños y niñas de los servicios del CONAFE. Es importante señalar que la cuantificación de este indicador se realiza en valores porcentuales y la cuantificación de la meta se presenta también en valores absolutos. La estimación sobre el número de alumnos que serán evaluados y, por consiguiente, el número mínimo de alumnos que se espera que obtengan un nivel de logro al menos elemental, se realiza con base en los resultados de los alumnos evaluados en el año inmediato anterior por lo que resulta poco certera la estimación del número de alumnos la cual varía año con año. Efecto: Los resultados que refleja este indicador de fin servirán para implementar acciones que permitan que todos los niños y jóvenes que viven en localidades con grado de marginación y/o rezago social muy alto y alto, tengan cubierto el derecho cursar la educación básica con mejores resultados de aprendizaje. Es importante mencionar que el Consejo Nacional de Fomento Educativo ha realizado diversas actividades encaminadas a mejorar los procesos de capacitación de sus figuras, obteniendo con ello prácticas educativas en el aula que les permitan apoyar la maduración de los alumnos para el inicio del aprendizaje así como elevar los conocimientos y habilidades de los niños y jóvenes que se benefician en los servicios educativos que se otorgan. Se ha propiciado una mayor participación de los padres de familia y de la comunidad en los procesos de enseñanza aprendizaje de la población en edad escolar.  Otros Motivos:</t>
    </r>
  </si>
  <si>
    <r>
      <t xml:space="preserve">Cobertura de niños con servicios educativos comunitarios
</t>
    </r>
    <r>
      <rPr>
        <sz val="10"/>
        <rFont val="Soberana Sans"/>
        <family val="2"/>
      </rPr>
      <t xml:space="preserve"> Causa : Para el 2013, el Consejo Nacional de Fomento Educativo estableció el indicador estratégico Porcentaje de alumno atendido, que mide la eficacia en Niños y jóvenes que viven en localidades de rezago social, acceden a servicios educativos acordes a sus necesidades y características; permanecen y concluyen la Educación Básica. La atención que se registra corresponde a la fase intermedia del ciclo escolar 2013-2014 el cual concluirá en el mes de julio del año en curso. Tomando en consideración la normatividad vigente, se pueden realizar altas de servicios educativos y alumnos durante todo el ciclo escolar, lo cual permitirá mejorar el cumplimiento de este indicador. Algunas de las situaciones que impiden la atención de alumnos son; baja matrícula, la migración parcial o total de la población, la imposibilidad para cubrir los gastos asociados al hospedaje, alimentación y cuidados al instructor comunitario por parte de las comunidades en las cuales se pretende instalar algún servicio educativo. La alta dispersión de las comunidades focalizadas dificulta la expansión en la instalación de servicios, originando con ello la baja captación de alumnos. Efecto: El efecto de éste indicador se refleja en la atención a los niños lo cual implica producir un cambio de carácter social, intelectual, emocional, etc. en los niños, el cual formará parte de la construcción individual de conocimiento, aportando a la colectividad las herramientas mínimas para transformar su visión de la vida y de ésta manera transformar su entorno. Las metas propuestas para este ejercicio, han sido logradas casi en su totalidad por lo cual las consecuencias de una cobertura óptima de los servicios de educación comunitaria genera un factor determinante para el desarrollo de las comunidades. Lo anterior es de suma importancia dado que el CONAFE brinda atención en las localidades más aisladas, con mayor grado de marginación a las cuales no llega la atención de las Secretarías de Educación Estatal el CONAFE es la única opción para atender a ésta población.  El Consejo Nacional de Fomento Educativo tiene la labor de atender a los niños y jóvenes de las localidades y municipios con mayor marginación y/o rezago social, prioritariamente a los de menor índice de desarrollo humano, a la población indígena y a los hijos de jornaleros agrícolas migrantes. Otros Motivos:</t>
    </r>
  </si>
  <si>
    <r>
      <t xml:space="preserve">Porcentaje de niños y jóvenes en edad escolar que reciben los servicios educativos en localidades susceptibles de ser atendidas por el Programa de Educación Comunitaria
</t>
    </r>
    <r>
      <rPr>
        <sz val="10"/>
        <rFont val="Soberana Sans"/>
        <family val="2"/>
      </rPr>
      <t xml:space="preserve"> Causa : La Secretaría de Educación Pública estableció en el programa presupuestario E062 para el ejercicio 2013, el indicador estratégico Porcentaje de niños y jóvenes en edad escolar que reciben los servicios educativos en localidades susceptibles de ser atendidas por el Programa de Educación Comunitaria, como un indicador de eficacia. Al cierre del año, la meta de este indicador alcanzó un porcentaje de cumplimiento de 101.16%. Este comportamiento se explica principalmente por lo siguiente:    Para el 2013, el Consejo Nacional de Fomento Educativo estableció el indicador estratégico Porcentaje de alumno atendido, que mide la eficacia  en Niños y jóvenes que viven en localidades de rezago social, acceden a servicios educativos acordes a sus necesidades y características; permanecen y concluyen la Educación Básica. Al cierre del ejercicio se logró atender a 343,412 alumnos que representa el 101.16 % de la meta y el 85.19 % del universo de cobertura. La atención que se registra corresponde a la fase intermedia del ciclo escolar 2013-2014 el cual concluirá en el mes de julio del año en curso. Tomando en consideración la normatividad vigente, se pueden realizar altas de servicios educativos y alumnos durante todo el ciclo escolar, lo cual permitirá mejorar el cumplimiento de este indicador. Algunas de las situaciones que impiden la atención de alumnos son; baja matrícula, la migración parcial o total de la población, la imposibilidad para cubrir los gastos asociados al hospedaje, alimentación y cuidados al instructor comunitario por parte de las comunidades en las cuales se pretende instalar algún servicio educativo. La alta dispersión de las comunidades focalizadas dificulta la expansión en la instalación de servicios, originando con ello la baja captación de alumnos.       Efecto: Brindar atención a niños y jóvenes que viven en localidades de rezago social lo cual implica producir un cambio de carácter social, intelectual, emocional, etc. en los niños, el cual formará parte de la construcción individual de conocimiento, aportando a la colectividad las herramientas mínimas para transformar su visión de la vida y de ésta manera transformar su entorno. Las metas propuestas para este ejercicio, han sido logradas casi en su totalidad por lo cual las consecuencias de una cobertura óptima de los servicios de educación comunitaria genera un factor determinante para el desarrollo de las comunidades.     Lo anterior es de suma importancia dado que el CONAFE brinda atención en las localidades más aisladas, con mayor grado de marginación a las cuales no llega la atención de las Secretarías de Educación Estatal el CONAFE es la única opción para atender a ésta población. El Consejo Nacional de Fomento Educativo tiene la labor de atender a los niños y jóvenes de las localidades y municipios con mayor marginación y/o rezago social, prioritariamente a los de menor índice de desarrollo humano, a la población indígena y a los hijos de jornaleros agrícolas migrantes.         Otros Motivos:Para mayor información acerca de las causas de las variaciones entre la meta alcanzada y la meta original del indicador consultar el documento Análisis del Cumplimiento de los Indicadores para Resultados de la Secretaría de Educación Pública, correspondiente a la Cuenta de la Hacienda Pública Federal 2013. </t>
    </r>
  </si>
  <si>
    <r>
      <t xml:space="preserve">Número de servicios educativos en operación de Educación Básica 
</t>
    </r>
    <r>
      <rPr>
        <sz val="10"/>
        <rFont val="Soberana Sans"/>
        <family val="2"/>
      </rPr>
      <t xml:space="preserve"> Causa : Para el 2013, el Consejo Nacional de Fomento Educativo estableció el indicador estratégico Servicio Educativo Instalado, que mide la eficacia del número de servicios educativos en operación en localidades con las características definidas en las reglas de operación vigentes. Al cierre del ejercicio se logró instalar 37,164 servicios que representa el 96.3 por ciento de la meta. Los servicios  que se registran corresponden a la fase intermedia del ciclo escolar 2013-2014 el cual concluirá en el mes de julio del año en curso. Tomando en consideración la normatividad vigente, se pueden realizar altas de servicios educativos  durante todo el ciclo escolar, lo cual permitirá mejorar el cumplimiento de este indicador. Algunas de las situaciones que impiden la atención de alumnos son; baja matrícula, la migración parcial o total de la población, la imposibilidad para cubrir los gastos asociados al hospedaje, alimentación y cuidados al instructor comunitario por parte de las comunidades en las cuales se pretende instalar algún servicio educativo. La alta dispersión de las comunidades focalizadas dificulta la expansión en la instalación de servicios. Efecto: Los efectos socioeconómicos consecuentes de la educación comunitaria en las localidades con mayor índice de marginación han estado directamente relacionados con fenómenos demográficos, económicos, sociales y culturales. La distribución espacial de la población y la distinción étnica ha sido una limitante para tener acceso al sistema educativo. Adicionalmente los sistemas de producción son altamente desiguales en estas localidades, la infraestructura de servicios, comercial e industrial refleja grandes contrastes en la distribución de la riqueza, por lo cual se impone la necesidad de contar con elementos educativos en todos los niveles, desde el básico hasta el superior. Hay una íntima relación entre el desarrollo de éstas localidades y la educación, puesto que los sistemas educativos evolucionan a la par del desarrollo económico alcanzado por un país o región, en este caso la educación sería un "efecto de la economía", Lo anterior origina un proceso al que el CONAFE contribuye dotando a las futuras generaciones de los conocimientos básicos, herramientas que generaran las bases para el desarrollo productivo, económico y social de éstas. La educación es un elemento básico para el desarrollo económico de las localidades, pues es a través de esta que se integra el capital humano, para el desarrollo técnico y tecnológico de las actividades productivas locales. El Consejo Nacional de Fomento Educativo tiene la labor de atender a los niños y jóvenes de las localidades y municipios con mayor marginación y/o rezago social, prioritariamente a los de menor índice de desarrollo humano, a la población indígena y a los hijos de jornaleros agrícolas migrantes.   Otros Motivos:</t>
    </r>
  </si>
  <si>
    <r>
      <t xml:space="preserve">Asociaciones Promotoras de Educación Comunitaria con acciones  de Contraloría Social
</t>
    </r>
    <r>
      <rPr>
        <sz val="10"/>
        <rFont val="Soberana Sans"/>
        <family val="2"/>
      </rPr>
      <t xml:space="preserve"> Causa : Para el 2013, el Consejo Nacional de Fomento Educativo estableció el indicador de gestión Contraloría social establecida y normada, que mide la eficacia de impulsar la participación de los padres y madres de familia para apoyar los servicios de Educación Básica en el ejercicio de la Contraloría Social. Al cierre del ejercicio se logró incorporar a 1,142 asociaciones de padres de familia, lo que representa el 104.9 por ciento respecto a la meta programada. Las 31 Entidades Federativas reportaron la constitución de sus Comités Locales, y algunos estados mostraron una mayor participación respecto al año pasado incrementando sus metas ligeramente. Efecto: La promoción realizada mediante materiales de difusión y capacitación en las comunidades de los 31 estados, fomentó la participación de los beneficiarios misma que se vio reflejada con mayor número de comités constituidos.  Otros Motivos:</t>
    </r>
  </si>
  <si>
    <r>
      <t xml:space="preserve">Número de beneficiarios del Sistema de Estudios a Docentes y Acércate a tu Escuela
</t>
    </r>
    <r>
      <rPr>
        <sz val="10"/>
        <rFont val="Soberana Sans"/>
        <family val="2"/>
      </rPr>
      <t xml:space="preserve"> Causa : Para el 2013, el Consejo Nacional de Fomento Educativo estableció el indicador de gestión Apoyo Otorgado, que mide la eficacia de los beneficiarios del Sistema de Estudios a Docentes y Acércate a tu Escuela apoyados económicamente. La atención que se registra corresponde a la fase intermedia del ciclo escolar 2013-2014 el cual concluirá en el mes de julio del año en curso. Es importante señalar que en esta meta se contempla a las figuras educativas en servicio del ciclo escolar inmediato anterior, que son susceptibles de ser incorporadas al sistema de estudios a docentes, así como a niños, niñas y jóvenes que por las características de las localidades en las que habitan no es posible instalar algún servicio educativo del CONAFE. El incremento en este indicador, obedece principalmente a que algunas figuras educativas que se encontraban en fase de receso, se incorporan a su fase de estudio.   Efecto: Coadyuvar a la continuidad educativa de los jóvenes prestadores del servicio social y generar posibilidades de acceso a los servicios educativos a niños y jóvenes de localidades marginadas carentes de un servicio educativo. Las acciones realizadas en este indicador son fortalecer la equidad y la oportunidad de acceso a la educación básica de los grupos vulnerables en el medio rural e indígena. Para lograr lo anterior, se utiliza el proceso de microplaneación en el cual se detectan las localidades que por sus características no es posible instalar algún servicio educativo del CONAFE, originando con ello el proporcionar un apoyo económico para que asistan a un servicio educativo cercano a su localidad de residencia, así como beneficiar a las ex figuras educativas que realizaron satisfactoriamente su servicio social en el CONAFE.   Otros Motivos:</t>
    </r>
  </si>
  <si>
    <r>
      <t xml:space="preserve">Localidades con servicios comunitarios fortalecidos con Tutores Comunitarios de Verano, Asesores Pedagógico Itinerantes y Caravanas Culturales
</t>
    </r>
    <r>
      <rPr>
        <sz val="10"/>
        <rFont val="Soberana Sans"/>
        <family val="2"/>
      </rPr>
      <t xml:space="preserve"> Causa : Para el 2013, el Consejo Nacional de Fomento Educativo estableció el indicador de gestión Servicio apoyado, que mide la eficacia para proponer y operar modelos técnico-pedagógicos que contribuyan a la mejora de los aprendizajes. Al cierre del ejercicio se logró beneficiar a 7,563 servicios. Este indicador es un resumen de las acciones implementadas a través de los API, TCV y Caravanas culturales en función del número de localidades apoyadas con estas acciones.   Efecto: El apoyo es un conjunto de acciones mediante las cuales se contribuye a mejorar los aprendizajes de los alumnos y elevar la calidad educativa en los servicios comunitarios, con la intervención de Asesores Pedagógicos Itinerantes, Tutores Comunitarios de Verano y/o Caravanas Culturales.  Otros Motivos:</t>
    </r>
  </si>
  <si>
    <r>
      <t xml:space="preserve">Lotes de mobiliario
</t>
    </r>
    <r>
      <rPr>
        <sz val="10"/>
        <rFont val="Soberana Sans"/>
        <family val="2"/>
      </rPr>
      <t xml:space="preserve"> Causa : Para el 2013, el Consejo Nacional de Fomento Educativo estableció el indicador de gestión Lote de mobiliario entregado, que mide la eficacia de servicios educativos con lotes de mobiliario. Al cierre del ejercicio se logró entregar 2,053 lotes de mobiliario que representa el 80.7 por ciento de la meta programada. El incremento en los precios unitarios de los bienes impacto en el cumplimiento de la meta. Efecto: Generar las condiciones de infraestructura adecuadas para fortalecer el acceso a la escuela de los niños y jóvenes que habitan en localidades de alta o muy alta marginación y/o rezago social, para que permanezcan y concluyan su educación básica.   Otros Motivos:</t>
    </r>
  </si>
  <si>
    <r>
      <t xml:space="preserve">Número de acciones de construcción y/o rehabilitación de espacios educativos y técnico administrativos
</t>
    </r>
    <r>
      <rPr>
        <sz val="10"/>
        <rFont val="Soberana Sans"/>
        <family val="2"/>
      </rPr>
      <t xml:space="preserve"> Causa : Para el 2013, el Consejo Nacional de Fomento Educativo estableció el indicador de gestión Acción realizada, que mide la eficacia de la construcción y/o rehabilitación de espacios educativos y técnico-administrativos para mejorar los servicios. Al cierre del ejercicio se logró construir y/o rehabilitar 365 espacios educativos que representa el 73.0 por ciento de la meta programada.  La detección de necesidades de los servicios educativos y la optimización de recursos v procesos en algunas entidades federativas posibilitó el incremento de las acciones de rehabilitación y construcción.   Efecto: Generar las condiciones de infraestructura adecuadas para fortalecer el acceso de niños y jóvenes que habitan en localidades de alta o muy alta marginación y/o rezago social a los servicios educativos, para que permanezcan y concluyan su educación básica. Estas acciones propician la generación empleos en este tipo de localidades lo que contribuye al fortalecimiento económico.   Otros Motivos:</t>
    </r>
  </si>
  <si>
    <r>
      <t xml:space="preserve">Figuras educativas en servicio
</t>
    </r>
    <r>
      <rPr>
        <sz val="10"/>
        <rFont val="Soberana Sans"/>
        <family val="2"/>
      </rPr>
      <t xml:space="preserve"> Causa : Para el 2013, el Consejo Nacional de Fomento Educativo estableció el indicador de gestión Figura educativa en servicio, que mide la eficacia de la prestación del servicio educativo comunitario en las localidades objetivo del CONAFE. Al cierre del ejercicio se logró incorporar a 42,051 figuras educativas que representa el 94.3 por ciento de la meta programada. Es importante mencionar que el Consejo pudo atender 37,164 servicios educativos con la participación de 42,051 figuras educativas, de los cuales 36,899 son instructores comunitarios que beneficiaron a 343,412 alumnos de localidades de rezago social. La atención que se registra corresponde a la fase intermedia del ciclo escolar 2013-2014 el cual concluirá en el mes de julio del año en curso. Tomando en consideración la normatividad vigente, se pueden realizar altas de servicios educativos y alumnos durante todo el ciclo escolar, lo cual permitirá mejorar el cumplimiento de este indicador. Algunas de las situaciones que impiden captar figuras educativas son los diversos fenómenos de oferta en las alternativas de fomento educativo y la incorporación al sector productivo. Otros factores que inciden en el cumplimiento de este indicador es que la figura educativa no se adapte a las condiciones de la comunidad, toda vez que en la misma difícilmente cuentan con el sustento alimenticio y de hospedaje que se le pueda brindar a la figura educativa, así como considerar insuficiente el apoyo económico por el servicio social que realizan; sin embargo, esta cantidad de figuras educativas permite atender los servicios educativos instalados. Efecto: Impulsar la implementación de servicios educativos a través de la participación comprometida de los jóvenes prestadores del servicio social. Contar con el número requerido de figuras educativas permite el alcance óptimo de los programas del CONAFE, pues son los actores que concretan la misión de la Educación Comunitaria. La efectividad de la operación de los programas del CONAFE por parte de los jóvenes que participan como figuras educativas se refleja en el reconocimiento, la consideración y el aprovechamiento de la diversidad cultural como una ventaja pedagógica, y sustenta su metodología en el desarrollo de competencias básicas para la vida. Las figuras educativas representan la piedra angular sobre la cual descansa la implementación de esta propuesta educativa, además de dominar habilidades de planeación, conducción y evaluación multigrado, estas adquieren las competencias interculturales necesarias para posicionar la otredad como una auténtica ventaja pedagógica en entornos socioeducativos de extrema dificultad. El impacto que tiene ésta labor se refleja en los niños que reciben los servicios educativos, en la comunidad beneficiada, pues tienen ventajas comparativas, en relación a las localidades que no cuentan con servicios de educación, del mismo modo las figuras educativas, adquieren una visión de tolerancia, de solidaridad e identificación con la comunidad, además del apoyo económico para continuar estudiando, lo cual son factores de formación humana que se traducen en ventajas para la consolidación del Estado Civil y la estandarización de las habilidades laborales; el efecto contrario de no contar con estas figuras se traduce principalmente en que los niños de con más rezago social del país pierdan la oportunidad de estudiar.   Otros Motivos:</t>
    </r>
  </si>
  <si>
    <r>
      <t xml:space="preserve">Alumnos beneficiados con útiles escolares
</t>
    </r>
    <r>
      <rPr>
        <sz val="10"/>
        <rFont val="Soberana Sans"/>
        <family val="2"/>
      </rPr>
      <t xml:space="preserve"> Causa : Para el 2013, el Consejo Nacional de Fomento Educativo estableció el indicador de gestión Alumno Beneficiado, que mide la eficacia de la dotación de útiles escolares a los alumnos de educación básica. Al cierre del ejercicio se logró beneficiar a 343,412 alumnos que representa el 101.15 porciento de la meta programada. Algunas de las situaciones que impiden la atención de alumnos son; baja matrícula, la migración parcial o total de la población, la imposibilidad para cubrir los gastos asociados al hospedaje, alimentación y cuidados al instructor comunitario por parte de las comunidades en las cuales se pretende instalar algún servicio educativo. La alta dispersión de las comunidades focalizadas dificulta la expansión en la instalación de servicios, originando con ello la baja captación de alumnos.   Efecto: Generar condiciones de equidad para la permanencia en los servicios educativos de los niños y jóvenes de las localidades beneficiadas por el Consejo. Los útiles escolares significan un elemento esencial para reforzar tanto la asistencia como el aprendizaje de los alumnos. En particular, dotar de paquetes de útiles escolares beneficia a los alumnos cuyas familias presentan un alto rezago económico y social.   Otros Motivos:</t>
    </r>
  </si>
  <si>
    <r>
      <t xml:space="preserve">Porcentaje de Asociaciones Promotoras de Educación Comunitaria (APEC) capacitadas en materia de Contaloría Social
</t>
    </r>
    <r>
      <rPr>
        <sz val="10"/>
        <rFont val="Soberana Sans"/>
        <family val="2"/>
      </rPr>
      <t xml:space="preserve"> Causa : Para el 2013, el Consejo Nacional de Fomento Educativo estableció el indicador de gestión Asociación Atendida, que mide la eficacia de los  Padres y madres de familia capacitados para el ejercicio de la Contraloría Social. Al cierre del ejercicio se logró incorporar a 1,142 Asociaciones, lo que representa el 104.9 por ciento de la meta programada Se confirma que hay una mejora del indicador al lograr el cumplimiento en la integración de comités de Contraloría Social debido a que se identifica que en los estados de Aguascalientes, Colima, Chihuahua, Guerrero, Hidalgo, Morelos, Nayarit, Nuevo León, Oaxaca, Puebla, Quintana Roo, Tamaulipas y Yucatán aumentaron su meta, aunque Campeche no cumplió con la misma. Efecto: La confirmación de que los recursos, apoyos y servicios que el Conafe destina a las comunidades están siendo aplicados y vigilados por los mismos beneficiarios  Otros Motivos:</t>
    </r>
  </si>
  <si>
    <r>
      <t xml:space="preserve">Porcentaje de apoyo económico del Sistema de Estudios a Docentes programado y entregado
</t>
    </r>
    <r>
      <rPr>
        <sz val="10"/>
        <rFont val="Soberana Sans"/>
        <family val="2"/>
      </rPr>
      <t xml:space="preserve"> Causa : Para el 2013, el Consejo Nacional de Fomento Educativo estableció el indicador de gestión Apoyo Económico Otorgado, que mide la eficacia en la programación y entrega de apoyos a beneficiarios del Sistema de Estudios a Docentes. Al cierre del ejercicio se logro apoyar a 52,776 beneficiarios, lo que representa el 102.5 por ciento, respecto a la meta programada. El incremento en este indicador, obedece principalmente a que algunas figuras educativas que se encontraban en fase de receso, se incorporan a su fase de estudio.   Efecto: Implementar acciones que contribuyan a la continuidad educativa de los jóvenes que han prestado su servicio social en los servicios educativos del Conafe. Las acciones realizadas en este indicador son fortalecer la equidad y la oportunidad de acceso a la educación básica de los grupos vulnerables en el medio rural e indígena. Es importante mencionar que el apoyo económico contribuye en el desarrollo integral y permite mejorar la calidad de vida de las ex figuras educativas, este beneficio se otorga de 30 o 60 meses permitiendo con ello cursar su educación media superior, superior o una o más carreras, especialidades, diplomados, capacitación para el trabajo u otras modalidades educativas.   Otros Motivos:</t>
    </r>
  </si>
  <si>
    <r>
      <t xml:space="preserve">Porcentaje de apoyos económicos Acércate a tu Escuela entregados
</t>
    </r>
    <r>
      <rPr>
        <sz val="10"/>
        <rFont val="Soberana Sans"/>
        <family val="2"/>
      </rPr>
      <t xml:space="preserve"> Causa : Para el 2013, el Consejo Nacional de Fomento Educativo estableció el indicador de gestión Apoyo Económico Otorgado, que mide la eficacia en la programación y entrega de apoyos económicos Acércate a tu Escuela a niños y niñas en edad escolar que habitan en comunidades en donde no existen servicios educativos requeridos de Educación Básica. Al cierre del ejercicio se logró apoyar a 32,035 beneficiarios, lo que representa el 94.1 por ciento, respecto de la meta programada. La atención que se registra corresponde a la fase intermedia del ciclo escolar 2013-2014 el cual concluirá en el mes de julio del año en curso. La variación en este indicador, se debe principalmente a que los padres de los beneficiarios consideran insuficiente el apoyo económico otorgado a diversos fenómenos de oferta y demanda en las alternativas de fomento educativo que se le presentan a la sociedad.   Efecto: Igualar las oportunidades de acceso a los servicios educativos, de niños y jóvenes habitantes en localidades carentes de un servicio educativo. La dispersión social, es un reto presente en la educación comunitaria, para eso es imperante buscar los medios necesarios que permitan vincular a los alumnos que se encuentran más alejados de los espacios físicos en los cuales se imparte la educación básica. La beca ¿Acércate a tu escuela¿ tiene un efecto integración de las zonas más alejadas a los centros de estudio, con apoyos para los estudiantes pertenecientes a estas, lo cual fortalece la equidad y la oportunidad de acceso a la educación básica de los grupos vulnerables en el medio rural e indígena. La efectividad de este indicador se observa al fortalecer la equidad y la oportunidad de acceso a la educación básica de los grupos vulnerables en el medio rural e indígena. al detectar las localidades que por sus características no es posible instalar algún servicio educativo del CONAFE y proporcionar un apoyo económico para que asistan a un servicio educativo cercano a su localidad de residencia se contribuye en la continuidad educativa de aquellos niños o jóvenes que viven en localidades carentes de alguno de los servicios de preescolar, primaria y secundaria, y que requieran trasladarse a una distancia mínima de 2 kilómetros, respecto a la comunidad de origen, para continuar con su educación básica.   Otros Motivos:</t>
    </r>
  </si>
  <si>
    <r>
      <t xml:space="preserve">Tutores Comunitarios de Verano
</t>
    </r>
    <r>
      <rPr>
        <sz val="10"/>
        <rFont val="Soberana Sans"/>
        <family val="2"/>
      </rPr>
      <t xml:space="preserve"> Causa : Para el 2013, el Consejo Nacional de Fomento Educativo estableció el indicador de gestión Servicio Social realizado, que mide la eficacia de los Tutores Comunitarios de Verano que proporcionan apoyo a servicios educativos. Al cierre del ejercicio se logró incorporar a 2,312 figuras que representa el 77.1 por ciento respecto a la meta programada. Una de las causas más relevantes por las que no se ha alcanzado la meta es por cuestiones de inseguridad en algunos estados. Debido a esto los jóvenes y/o en su caso los padres de los jóvenes que van a impartir la tutoría deciden conjuntamente con las entidades ya no participar en algunas localidades en las que se presenta un alto nivel de inseguridad. Otro aspecto que ha sido constante y por el cual la meta no se ha podido lograr al 100% es que algunas comunidades que están seleccionadas para ser atendidas, no aceptaron que se llevara a cabo la implementación de la tutoría en su comunidad, ya que la alimentación y el hospedaje del TCV representaba una carga económica para la misma.   Efecto: Esta estrategia contribuye a la continuidad educativa de los alumnos de educación básica, disminuyendo los niveles de reprobación y la consecuente deserción ligada a este efecto, como herramienta coadyuva a la continuidad y efectividad de los programas de la educación comunitaria, se focaliza en las necesidades de los alumnos con mayores dificultades de aprendizaje ésta medida que genera equidad entre los estudiantes que se les dificulta más obtener notas óptimas. El lograr que los niños se regularicen y no reprueben, propicia que los alumnos continúen estudiando y que se amplíen sus expectativas de vida con lo que se logra tener una comunidad con mayor nivel de estudios y con una aspiración a mejores condiciones económicas.   Otros Motivos:</t>
    </r>
  </si>
  <si>
    <r>
      <t xml:space="preserve">Número de Caravanas Culturales en operación
</t>
    </r>
    <r>
      <rPr>
        <sz val="10"/>
        <rFont val="Soberana Sans"/>
        <family val="2"/>
      </rPr>
      <t xml:space="preserve"> Causa : Para el 2013, el Consejo Nacional de Fomento Educativo estableció el indicador de gestión Actividad artística y cultural realizada, que mide la eficacia en la conformación de las Caravanas Culturales. Al cierre del ejercicio se logró incorporar a 208 caravanas lo que representa el 95.4 por ciento de la meta programada. Los problemas de inseguridad en estados como Chihuahua, Nayarit y Guerrero, impactan en la deserción de figuras. No obstante lo anterior, se ha logrado suplir a los instructores que desertan para sostener el nivel de cumplimiento de la meta.   Efecto: Fomenta hábitos de lectura y disciplinas artísticas como las artes plásticas, el teatro, la danza y la música, entre otras, en las comunidades con mayor rezago social y educativo.  Otros Motivos:</t>
    </r>
  </si>
  <si>
    <r>
      <t xml:space="preserve">Asesores Pedagógicos Itinerantes en servicio
</t>
    </r>
    <r>
      <rPr>
        <sz val="10"/>
        <rFont val="Soberana Sans"/>
        <family val="2"/>
      </rPr>
      <t xml:space="preserve"> Causa : Para el 2013, el Consejo Nacional de Fomento Educativo estableció el indicador de gestión  Figura Educativa en Servicio, que mide la eficacia de los  Asesores Pedagógicos itinerantes (API) que proporcionan apoyo a servicios educativos comunitarios. Al cierre del ejercicio se logró incorporar a 2,039 Figuras lo que representa el 97.1 por ciento de la meta programada La variación entre la meta alcanzada y la meta original, es debido a la deserción de los API, las principales causas de baja son las siguientes: 1. Incorporación de los Asesores al sistema de docentes de la SEP 2. Inserción al campo laboral 3. Inseguridad de las comunidades 4. Comunidades muy alejadas 5. Embarazo 6. Motivos Personales. Efecto: Contribuir en la mejora de los resultados de aprendizaje en matemáticas y español, de niñas y niños en situación de desventajas en el desempeño escolar, previamente identificados mediante una evaluación diagnóstica. Orientar a los instructores comunitarios en la identificación y priorización de necesidades de aprendizaje de los alumnos, así como en la elaboración de planes para mejorar la enseñanza y el aprendizaje. Proporcionar al instructor comunitario algunas estrategias para que madres y padres de familia participen en el proceso educativo de sus hijas e hijos, y apoyen en el seguimiento de alumnos que requieran una atención especial de acuerdo con los resultados del diagnóstico.   Otros Motivos:</t>
    </r>
  </si>
  <si>
    <t>E063</t>
  </si>
  <si>
    <t>Acciones compensatorias para Abatir el Rezago Educativo en Educación Inicial y Básica</t>
  </si>
  <si>
    <t>Contribuir a generar equidad educativa para los niños y jóvenes de sectores vulnerables del país para combatir el rezago educativo en Educación Inicial y Básica mediante Acciones Compensatorias enfocadas a la dotación de materiales didácticos; capacitación y asesoría a madres y padres de familia así como a docentes; apoyos económicos a las Asociaciones de Padres de Familia (APF) y Asociaciones Promotoras de Educación Comunitaria (APEC) y figuras educativas relacionadas con la asesoría, supervisión y promoción.</t>
  </si>
  <si>
    <r>
      <t>Porcentaje de alumnos de las escuelas beneficiadas con Acciones Compensatorias que están al menos en el nivel de logro elemental en la prueba de Enlace en el año n</t>
    </r>
    <r>
      <rPr>
        <i/>
        <sz val="10"/>
        <color indexed="30"/>
        <rFont val="Soberana Sans"/>
        <family val="3"/>
      </rPr>
      <t xml:space="preserve">
</t>
    </r>
  </si>
  <si>
    <t>(Número de alumnos de las escuelas beneficiadas con Acciones Compensatorias que están en el nivel al menos elemental en la prueba de Enlace en el año n / Número de Alumnos de escuelas compensadas evaluados con la prueba Enlace en el año n) X 100</t>
  </si>
  <si>
    <t>Niños y jóvenes de localidades de alta marginalidad o alto rezago social, permanecen y concluyen la Educación Básica.</t>
  </si>
  <si>
    <r>
      <t>Porcentaje de deserción de los alumnos de escuelas beneficiadas con Acciones Compensatorias</t>
    </r>
    <r>
      <rPr>
        <i/>
        <sz val="10"/>
        <color indexed="30"/>
        <rFont val="Soberana Sans"/>
        <family val="3"/>
      </rPr>
      <t xml:space="preserve">
Indicador Seleccionado</t>
    </r>
  </si>
  <si>
    <t>(1- ((Matricula-Nuevo ingreso a 1o.+Egresados en el año n-1) / Matricula del año n-1)) x 100</t>
  </si>
  <si>
    <t>A Brindar apoyos a las escuelas de Educación Básica mediante la entrega de materiales así como apoyos y capacitación a las figuras educativas relacionadas con la asesoría y supervisión</t>
  </si>
  <si>
    <r>
      <t>Cobertura de escuelas de Educación Básica beneficiadas con Acciones Compensatorias</t>
    </r>
    <r>
      <rPr>
        <i/>
        <sz val="10"/>
        <color indexed="30"/>
        <rFont val="Soberana Sans"/>
        <family val="3"/>
      </rPr>
      <t xml:space="preserve">
</t>
    </r>
  </si>
  <si>
    <t>Número de escuelas de Educación Básica beneficiadas con Acciones Compensatorias en el año n</t>
  </si>
  <si>
    <t>Escuela</t>
  </si>
  <si>
    <t>B Brindar apoyo, capacitación o formación a madres, padres y cuidadores que participan en el servicio de Educación Inicial, Asociaciones de Padres de Familia (APFs), Asociaciones Promotoras de Educación Comunitaria (APECs) y comités locales que llevan a cabo acciones de Contraloría Social</t>
  </si>
  <si>
    <r>
      <t>Madres, Padres y Cuidadores formados y capacitados</t>
    </r>
    <r>
      <rPr>
        <i/>
        <sz val="10"/>
        <color indexed="30"/>
        <rFont val="Soberana Sans"/>
        <family val="3"/>
      </rPr>
      <t xml:space="preserve">
</t>
    </r>
  </si>
  <si>
    <t>Total de madres, padres y cuidadores formados, capacitados u orientados en el año n</t>
  </si>
  <si>
    <t>Padre de familia</t>
  </si>
  <si>
    <t>C Proporcionar apoyos y capacitación a las figuras educativas relacionadas con la asesoría y supervisión en las comunidades y escuelas objetivo del programa</t>
  </si>
  <si>
    <r>
      <t>Figuras educativas formadas o apoyadas</t>
    </r>
    <r>
      <rPr>
        <i/>
        <sz val="10"/>
        <color indexed="30"/>
        <rFont val="Soberana Sans"/>
        <family val="3"/>
      </rPr>
      <t xml:space="preserve">
</t>
    </r>
  </si>
  <si>
    <t>Total de figuras educativas formadas o apoyadas con incentivos en el año n.</t>
  </si>
  <si>
    <t>Lotes de mobiliario entregados a las escuelas beneficiarias en el año n</t>
  </si>
  <si>
    <t>A 2 Dotación de Materiales Educativos a los servicios de Educación Inicial</t>
  </si>
  <si>
    <r>
      <t xml:space="preserve">Servicios de educación inicial </t>
    </r>
    <r>
      <rPr>
        <i/>
        <sz val="10"/>
        <color indexed="30"/>
        <rFont val="Soberana Sans"/>
        <family val="3"/>
      </rPr>
      <t xml:space="preserve">
</t>
    </r>
  </si>
  <si>
    <t>Número de servicios de Educación Inicial apoyados en el año n</t>
  </si>
  <si>
    <t>A 3 Dotación de útiles escolares a los alumnos de Educación Básica</t>
  </si>
  <si>
    <t>Total de alumnos beneficiados con útiles escolares en el año n</t>
  </si>
  <si>
    <t>B 4 Localidades con servicios de Educación Comunitaria instalados, que reciben los apoyos del Fortalecimiento Comunitario para la Educación (FORTALECE) a través de las Asociaciones Promotoras de Educación Comunitaria (APEC) para que realicen acciones de mejoramiento de los servicios fortaleciendo la participación social</t>
  </si>
  <si>
    <r>
      <t xml:space="preserve">Localidades con servicios de Educación Comunitaria en operación, apoyadas con el Fortalecimiento Comunitario para la Educación (FORTALECE) </t>
    </r>
    <r>
      <rPr>
        <i/>
        <sz val="10"/>
        <color indexed="30"/>
        <rFont val="Soberana Sans"/>
        <family val="3"/>
      </rPr>
      <t xml:space="preserve">
</t>
    </r>
  </si>
  <si>
    <t>Número de localidades apoyadas con el Fortalecimiento Comunitario para la Educación (FORTALECE) en el año n</t>
  </si>
  <si>
    <t>Localidad</t>
  </si>
  <si>
    <t>B 5 Apoyo y capacitación a Asociaciones de Padres de Familia para ejercer el Apoyo a la Gestión Escolar (AGE) en beneficio de escuelas de Educación Básica con objeto de promover la participación social</t>
  </si>
  <si>
    <r>
      <t>Asociaciones de Padres de Familia que reciben el Apoyo a la Gestión Escolar</t>
    </r>
    <r>
      <rPr>
        <i/>
        <sz val="10"/>
        <color indexed="30"/>
        <rFont val="Soberana Sans"/>
        <family val="3"/>
      </rPr>
      <t xml:space="preserve">
</t>
    </r>
  </si>
  <si>
    <t>Número de Asociaciones de Padres de Familia (APFs) que reciben el Apoyo a la Gestión Escolar (AGE) en el año n</t>
  </si>
  <si>
    <t>B 6 Comités locales con acciones de Contraloría Social</t>
  </si>
  <si>
    <r>
      <t>Comités locales con acciones de Contraloría Social</t>
    </r>
    <r>
      <rPr>
        <i/>
        <sz val="10"/>
        <color indexed="30"/>
        <rFont val="Soberana Sans"/>
        <family val="3"/>
      </rPr>
      <t xml:space="preserve">
</t>
    </r>
  </si>
  <si>
    <t>Número de Comités locales con acciones de Contraloría Social en el año n</t>
  </si>
  <si>
    <t>Comité</t>
  </si>
  <si>
    <t>C 7 Formación de Figuras de la Estructura Educativa de Educación Inicial</t>
  </si>
  <si>
    <r>
      <t>Porcentaje de figuras de la Estructura Educativa de Educación Inicial formadas</t>
    </r>
    <r>
      <rPr>
        <i/>
        <sz val="10"/>
        <color indexed="30"/>
        <rFont val="Soberana Sans"/>
        <family val="3"/>
      </rPr>
      <t xml:space="preserve">
</t>
    </r>
  </si>
  <si>
    <t>(Número de Figuras de la Estructura Educativa formadas en Educación Inicial en el año n / Número de Figuras de la Estructura Educativa de Educación Inicial  programadas en el año n) X 100</t>
  </si>
  <si>
    <t>C 8 Entrega de apoyo a supervisores y jefes de sector</t>
  </si>
  <si>
    <r>
      <t>Porcentaje de jefes de sector y supervisores a los que se les entregan incentivos</t>
    </r>
    <r>
      <rPr>
        <i/>
        <sz val="10"/>
        <color indexed="30"/>
        <rFont val="Soberana Sans"/>
        <family val="3"/>
      </rPr>
      <t xml:space="preserve">
</t>
    </r>
  </si>
  <si>
    <t>(Número de jefes de sector y supervisores a los que se les entregan incentivos en el año n / Número de  jefes de sector y supervisores programados para recibir incentivos) en el año n) x 100</t>
  </si>
  <si>
    <t>C 9 Asesores Pedagógicos Itinerantes que proporcionan apoyo a servicios educativos</t>
  </si>
  <si>
    <r>
      <t>Asesores Pedagógicos Itinerantes</t>
    </r>
    <r>
      <rPr>
        <i/>
        <sz val="10"/>
        <color indexed="30"/>
        <rFont val="Soberana Sans"/>
        <family val="3"/>
      </rPr>
      <t xml:space="preserve">
</t>
    </r>
  </si>
  <si>
    <t>Número de Asesores Pedagógicos Itinerantes</t>
  </si>
  <si>
    <t>Figura Educativa en Servicio</t>
  </si>
  <si>
    <r>
      <t xml:space="preserve">Porcentaje de alumnos de las escuelas beneficiadas con Acciones Compensatorias que están al menos en el nivel de logro elemental en la prueba de Enlace en el año n
</t>
    </r>
    <r>
      <rPr>
        <sz val="10"/>
        <rFont val="Soberana Sans"/>
        <family val="2"/>
      </rPr>
      <t xml:space="preserve"> Causa : Para el 2013, el Consejo Nacional de Fomento Educativo estableció el indicador estratégico Porcentaje de alumno evaluado, que mide la eficacia para contribuir a generar equidad educativa para los niños y jóvenes de sectores vulnerables del país para combatir el rezago educativo en Educación Inicial y Básica mediante Acciones Compensatorias enfocadas a la dotación de materiales didácticos; capacitación y asesoría a madres y padres de familia así como a docentes; apoyos económicos a las Asociaciones de Padres de Familia (APFs) y Asociaciones Promotoras de Educación Comunitaria (APECs) y figuras educativas relacionadas con la asesoría, supervisión y promoción; La cuantificación de este indicador se realiza en valores porcentuales; sin embargo, en este sistema SMIR la cuantificación se solicita en valores absolutos, situación que no refleja la realidad del avance de cumplimiento, toda vez que la meta comprometida de 67.25 por ciento se obtiene entre 1,413,707 alumnos que pueden ser evaluados de un universo de 2,795,596, y el avance que se registra en términos relativos (76.89 por ciento) se obtiene de dividir 2,655,743 entre 3,453,870 alumnos. La estimación sobre el número de alumnos que serán evaluados y por consiguiente, el número mínimo de alumnos que se espera que obtengan un nivel de logro al menos elemental se realiza con base en los resultados de los alumnos evaluados en el año inmediato anterior por lo que resulta poco certera la estimación ya que año con año varia el número de alumnos evaluados.  Efecto: Coadyuvar con acciones compensatorias a reducir los niveles de insuficiencia en los resultados de la prueba Enlace. Los apoyos compensatorios que entrega el Consejo a las escuelas, convergen con otros programas ya sean federales y/o estatales. que tienen como finalidad generar condiciones de equidad en el acceso, las condiciones de permanencia las oportunidades de egreso de los servicios educativos. disminuyendo las brechas existentes de las localidades de alto y muy alto rezago social y educativo.   Otros Motivos:</t>
    </r>
  </si>
  <si>
    <r>
      <t xml:space="preserve">Porcentaje de deserción de los alumnos de escuelas beneficiadas con Acciones Compensatorias
</t>
    </r>
    <r>
      <rPr>
        <sz val="10"/>
        <rFont val="Soberana Sans"/>
        <family val="2"/>
      </rPr>
      <t xml:space="preserve"> Causa : NOTA: El indicador tiene tendencia a la baja para reflejar mejoría por lo cual se utilizó la fórmula: (Meta Aprobada - Meta Alcanzada) X 100 / Meta Aprobada + 100     La Secretaría de Educación Pública estableció en el programa presupuestario E063 para el ejercicio 2013, el indicador estratégico Porcentaje de deserción de los alumnos de escuelas beneficiadas con Acciones Compensatorias, como un indicador de eficacia. Al cierre del año la meta de este indicador alcanzó un porcentaje de cumplimiento de 151.12%. Este comportamiento se explica principalmente por lo siguiente:   Para el 2013, el Consejo Nacional de Fomento Educativo estableció el indicador estratégico ¿Porcentaje de alumno que deserta¿, que mide la eficacia de los niños y jóvenes de localidades de alta marginalidad o alto rezago social, que permanecen y concluyen la Educación Básica. Al cierre del año la meta alcanzada fue de 0.87 %, con lo cual se logró una mejor resultado respecto de la meta programada de 1.78 %.   El cumplimiento de esta meta se debe principalmente a que el Consejo Nacional de Fomento Educativo, a través de las Acciones Compensatorias, proporciona herramientas adicionales a los alumnos de educación primaria, promoviendo con ello mejores condiciones académicas y de aprendizaje.        Efecto: Los beneficios económicos y sociales alcanzados con este indicador de propósito, contribuyeron a:   La disminución de la deserción escolar. lo cual posibilita las oportunidades en la continuidad educativa de las localidades de alto y muy alto rezago social, considerando los siguientes factores: En las localidades donde opera el Consejo la deserción se ve afectada por las condiciones de marginalidad y regazo social, disminuir la deserción evita que los menores se incorporen de forma temprana a las actividades productivas. Si bien la migración y movilidad en las localidades acentúa la deserción de la población escolar, se puede inferir que a menor deserción también se reducen los factores que la desencadenan.            Otros Motivos:Para mayor información acerca de las causas de las variaciones entre la meta alcanzada y la meta original del indicador consultar el documento Análisis del Cumplimiento de los Indicadores para Resultados de la Secretaría de Educación Pública, correspondiente a la Cuenta de la Hacienda Pública Federal 2013. </t>
    </r>
  </si>
  <si>
    <r>
      <t xml:space="preserve">Cobertura de escuelas de Educación Básica beneficiadas con Acciones Compensatorias
</t>
    </r>
    <r>
      <rPr>
        <sz val="10"/>
        <rFont val="Soberana Sans"/>
        <family val="2"/>
      </rPr>
      <t xml:space="preserve"> Causa : Para el 2013, el Consejo Nacional de Fomento Educativo estableció el indicador gestión Escuela beneficiada, que mide la eficacia de brindar apoyo a las escuelas de Educación Básica mediante la entrega de materiales así como apoyos y capacitación a las figuras educativas relacionadas con la asesoría y supervisión. Al cierre del año la meta alcanzada fue del 108.4  por ciento con respecto a la meta programada. Durante el ejercicio 2013, se continuó con la estrategia de apoyar a las escuelas multigrado, lo que representa atender a un mayor número de planteles con el mismo volumen de útiles escolares.   Efecto: Mejora de las condiciones de acceso a los servicios educativos de localidades de alta y muy alta marginación y rezago social. El conjunto de acciones compensatorias que ofrece el Consejo, contribuye a generar las condiciones adecuadas para ofrecer los servicios educativos, mediante la distribución de útiles escolares, auxiliares didácticos y apoyos a la gestión escolar, se pretende compensar las condiciones de desigualdad de las localidades de alta muy alta marginación y rezago social.   Otros Motivos:</t>
    </r>
  </si>
  <si>
    <r>
      <t xml:space="preserve">Madres, Padres y Cuidadores formados y capacitados
</t>
    </r>
    <r>
      <rPr>
        <sz val="10"/>
        <rFont val="Soberana Sans"/>
        <family val="2"/>
      </rPr>
      <t xml:space="preserve"> Causa : Para el 2013, el Consejo Nacional de Fomento Educativo estableció el indicador de gestión Padre de familia capacitado, que mide la eficacia de brindar apoyo, capacitación o formación a madres, padres y cuidadores que participan en el servicio de Educación Inicial, Asociaciones de Padres de Familia (APFs), Asociaciones Promotoras de Educación Comunitaria (APECs) y comités locales que llevan a cabo acciones de Contraloría Social. Al cierre del año la meta alcanzada fue de 100.3 por ciento, con respecto a la meta programada. Si bien el número de servicios de educación inicial se incrementó, la selección de localidades con mayor grado de marginación y/o rezago social impactó en el número de padres y madres participantes, ya que son localidades con menor población.   Efecto: Generar condiciones que permitan la estimulación temprana de infantes de 0 a 4 años de edad, así como el desarrollo de habilidades en prácticas de crianza de los menores. Asimismo, se busca fortalecer la participación de los padres de familia en los centros escolares.   Otros Motivos:</t>
    </r>
  </si>
  <si>
    <r>
      <t xml:space="preserve">Figuras educativas formadas o apoyadas
</t>
    </r>
    <r>
      <rPr>
        <sz val="10"/>
        <rFont val="Soberana Sans"/>
        <family val="2"/>
      </rPr>
      <t xml:space="preserve"> Causa : Para el 2013, el Consejo Nacional de Fomento Educativo estableció el indicador de gestión Figura educativa formada, que mide la eficacia para proporcionar apoyos y capacitación a las figuras educativas relacionadas con la asesoría y supervisión en las comunidades y escuelas objetivo del programa. Efecto: Implementar acciones de capacitación y formación para el desarrollo de habilidades en las figuras que operan las acciones de educación inicial y básica. El recurso destinado para éstos incentivos se compromete con actividades extraordinarias del docente con los alumnos mas rezagados. Se estima que a pesar de no recibir sus apoyos. las actividades educativas se realizan con la mejor calidad y compromiso de los docentes. El incentivo docente tiene también como objetivo favorecer el arraigo en la comunidad y se considera que ya existen los elementos suficientes para que ésta situación no se convierta en una problemática educativa actualmente. A través de la capacitación a promotoras educativas, coordinadoras de zona y supervisores de módulo, que operan las acciones de educación inicial mediante las cuales se pretende incidir en las practicas de crianza y estimulación temprana de los menores de O a 4 años e edad para contribuir a su incorporación y transito en los niveles educativo de preescolar y primaria.   Otros Motivos:</t>
    </r>
  </si>
  <si>
    <r>
      <t xml:space="preserve">Lotes de mobiliario
</t>
    </r>
    <r>
      <rPr>
        <sz val="10"/>
        <rFont val="Soberana Sans"/>
        <family val="2"/>
      </rPr>
      <t xml:space="preserve"> Causa : Para el 2013, el Consejo Nacional de Fomento Educativo estableció el indicador de gestión Lote de mobiliario entregado, que mide la eficacia en escuelas beneficiarias con lotes de mobiliario. Al cierre del año la meta alcanzada fue del 85.6% con respecto a la meta programada. El incremento en los precios unitarios de los bienes impactó en el cumplimiento de la meta.   Efecto: Generar las condiciones de infraestructura adecuadas para fortalecer el acceso a la escuela de los niños y jóvenes que habitan en localidades de alta o muy alta marginación y/o rezago social, para que permanezcan y concluyan su educación básica.  Otros Motivos:</t>
    </r>
  </si>
  <si>
    <r>
      <t xml:space="preserve">Servicios de educación inicial 
</t>
    </r>
    <r>
      <rPr>
        <sz val="10"/>
        <rFont val="Soberana Sans"/>
        <family val="2"/>
      </rPr>
      <t xml:space="preserve"> Causa : Para el 2013, el Consejo Nacional de Fomento Educativo estableció el indicador de gestión Servicio apoyado, que mide la eficacia de la dotación de Materiales Educativos a los servicios de Educación Inicial. Al cierre del año la meta alcanzada fue del  99.8 por ciento, con respecto a la meta programada.  Efecto: Generar condiciones en las localidades de alto y muy alto rezago social y/o marginación, que propicien el desarrollo educativo de los niños y niñas. Los servicios de educación inicial promueven la estimulación temprana de infantes de 0 a 4 años de edad, así como el desarrollo de habilidades en prácticas de crianza de los menores. Generar condiciones en las localidades de alto y muy alto rezago social y/o marginación, que propicien el desarrollo educativo de los niños y niñas.   Otros Motivos:</t>
    </r>
  </si>
  <si>
    <r>
      <t xml:space="preserve">Alumnos beneficiados con útiles escolares
</t>
    </r>
    <r>
      <rPr>
        <sz val="10"/>
        <rFont val="Soberana Sans"/>
        <family val="2"/>
      </rPr>
      <t xml:space="preserve"> Causa : Para el 2013, el Consejo Nacional de Fomento Educativo estableció el indicador de gestión Alumno Beneficiado, que mide la eficacia en la dotación de útiles escolares a los alumnos de Educación Básica. Al cierre del año la meta alcanzada fue del 101.5 por ciento con respecto a la meta original. La asignación presupuestal del ejercicio 2013 y las repercusiones de costos de algunos materiales, impactaron en la conformación de los paquetes entregados a los alumnos. No obstante lo anterior, se logró una recuperación con respecto al ejercicio 2012 donde se alcanzó una meta de 5,917,638.   Efecto: Generar condiciones de equidad para la permanencia en los servicios educativos de los niños y jóvenes de las localidades beneficiadas por el Consejo. Los útiles escolares significan un elemento esencial para reforzar tanto la asistencia como el aprendizaje de los alumnos. En particular, dotar de paquetes de útiles escolares beneficia a los alumnos cuyas familias presentan un alto rezago económico y social. Para continuar apoyando a los niños y jóvenes con mayor rezago, la asignación de los paquetes de útiles escolares en el ciclo 2013-2014 se efectuó con base en un índice comparativo (de conformidad con las Reglas de Operación). La utilización de éste índice nacional permitió continuar beneficiando a los niños de las escuelas que presentan mayor desventaja.   Otros Motivos:</t>
    </r>
  </si>
  <si>
    <r>
      <t xml:space="preserve">Localidades con servicios de Educación Comunitaria en operación, apoyadas con el Fortalecimiento Comunitario para la Educación (FORTALECE) 
</t>
    </r>
    <r>
      <rPr>
        <sz val="10"/>
        <rFont val="Soberana Sans"/>
        <family val="2"/>
      </rPr>
      <t xml:space="preserve"> Causa : Para el 2013, el Consejo Nacional de Fomento Educativo estableció el indicador de gestión Localidad beneficiada, que mide la eficacia de las Localidades con servicios de Educación Comunitaria instalados, que reciben los apoyos del Fortalecimiento Comunitario para la Educación (FORTALECE) a través de las Asociaciones Promotoras de Educación Comunitaria (APECs) para que realicen acciones de mejoramiento de los servicios fortaleciendo la participación social. Al cierre del año la meta alcanzada fue de 104.93 por ciento, con respecto a la meta programada. Considerando que las APEC reciben recursos diferenciados en montos por concepto de la matricula existente en la localidad, durante este año se benefició una mayor número de localidades de mayor matricula las cuales significan un costo menor optimizando así los mismos recursos en una cobertura mayor de localidades.   Efecto: Apoyar con un recurso económico a través de las Asociaciones Promotoras de Educación Comunitaria, contribuye a la disminución de los gastos que los padres de familia realizan para el sostenimiento de los servicios comunitarios, además promueve la participación activa de la comunidad educativa en la mejora del ambiente escolar y en la toma de decisiones del aprovechamiento del recurso a favor del desarrollo de los alumnos.   Otros Motivos:</t>
    </r>
  </si>
  <si>
    <r>
      <t xml:space="preserve">Asociaciones de Padres de Familia que reciben el Apoyo a la Gestión Escolar
</t>
    </r>
    <r>
      <rPr>
        <sz val="10"/>
        <rFont val="Soberana Sans"/>
        <family val="2"/>
      </rPr>
      <t xml:space="preserve"> Causa : Para el 2013, el Consejo Nacional de Fomento Educativo estableció el indicador de gestión Asociación de padres de familia apoyada, que mide la eficacia del Apoyo y capacitación a Asociaciones de Padres de Familia para ejercer el Apoyo a la Gestión Escolar (AGE) en beneficio de escuelas de Educación Básica con objeto de promover la participación social. Al cierre del año, la meta alcanzada fue del 101.7 por ciento, con respecto a la meta programada. El monto del Fondo de Apoyo a la Gestión Escolar, varía en función de la matricula y número de docentes. La movilidad de éstas variables entre el proceso de selección de las escuelas y el momento de entrega de los apoyos, genera que se ubiquen en rangos distintos a los programados, por lo que se atienden de acuerdo a la suficiencia presupuestal, y en particular para este ejercicio, se incorporaron algunas escuelas originalmente previstas con un monto menor.   Efecto: Con esta acción se busca fortalecer a las Asociaciones de Padres de Familia (APF) con la intención de que, a través de los recursos que se les entrega, se logre una mayor presencia en la escuela y participación de los padres de familia en los asuntos escolares de sus hijos. A través de este apoyo se realiza un importante esfuerzo por atender las carencias materiales de las escuelas más desfavorecidas y se fortalece la participación y la gestión escolar.   Otros Motivos:</t>
    </r>
  </si>
  <si>
    <r>
      <t xml:space="preserve">Comités locales con acciones de Contraloría Social
</t>
    </r>
    <r>
      <rPr>
        <sz val="10"/>
        <rFont val="Soberana Sans"/>
        <family val="2"/>
      </rPr>
      <t xml:space="preserve"> Causa : Para el 2013, el Consejo Nacional de Fomento Educativo estableció el indicador de gestión Comité integrado, que mide la eficacia de los comités locales con acciones de contraloría social. Al cierre del año, la meta alcanzada fue de 116.7 por ciento con respecto a la meta programada. Durante este año, los procesos de contraloría social lograron una consolidación tanto a nivel central como a nivel Delegaciones, debido a ello, las metas se alcanzaron en la mayoría de los estados.   Efecto: La participación de los beneficiarios en las actividades de contraloría social fueron fundamentales para el logro del cumplimiento de las metas, y el compromiso de los integrantes de los Comités. La promoción realizada mediante materiales de difusión y capacitación en las comunidades de los 31 estados, fomentó la participación de los beneficiarios, misma que se vio reflejada con un mayor número de comités constituidos en algunas Entidades Federativas.   Otros Motivos:</t>
    </r>
  </si>
  <si>
    <r>
      <t xml:space="preserve">Porcentaje de figuras de la Estructura Educativa de Educación Inicial formadas
</t>
    </r>
    <r>
      <rPr>
        <sz val="10"/>
        <rFont val="Soberana Sans"/>
        <family val="2"/>
      </rPr>
      <t xml:space="preserve"> Causa : Para el 2013, el Consejo Nacional de Fomento Educativo estableció el indicador de gestión Figura a Nivel Nacional Capacitada, que mide la eficacia en la captación de Asesores Pedagógicos Itinerantes que proporcionarán apoyo a los servicios educativos. Al cierre del año, la meta alcanzada fue del 99.9 por ciento con respecto a la meta programada. Algunos estados presentaron dificultades para lograr la meta de API asignada debido a factores como la inseguridad, lejanía de las comunidades, oferta de empleo. Sin embargo, los estados continúan haciendo esfuerzos por captar los API faltantes para la conclusión del ciclo escolar 2013-2014.   Efecto: Mejora de los aprendizajes de los alumnos atendidos gracias a la Asesoría individualizada que brinda el API, además de la asesoría pedagógica al Instructor Comunitario. Mediante la intervención de los API se ha logrado un mayor involucramiento de los Padres de Familia en la educación de sus hijos.   Otros Motivos:</t>
    </r>
  </si>
  <si>
    <r>
      <t xml:space="preserve">Porcentaje de jefes de sector y supervisores a los que se les entregan incentivos
</t>
    </r>
    <r>
      <rPr>
        <sz val="10"/>
        <rFont val="Soberana Sans"/>
        <family val="2"/>
      </rPr>
      <t xml:space="preserve"> Causa : Para el 2013, el Consejo Nacional de Fomento Educativo estableció el indicador de gestión Supervisor apoyado, que mide la eficacia en la entrega de apoyos a supervisores y jefes de sector. Al cierre del año, la meta alcanzada fue del 77.1 por ciento, con respecto a la meta programada. El establecimiento de las metas o universo de atención del proyecto, es un proceso de validación que se consolida una vez que ya han sido determinados los universos de las acciones compensatorias. Por lo que la movilidad de las figuras mientras se concluye este proceso implica las estrategias para reubicar los apoyos y/o determinar las zonas escolares que contaran con escuelas compensadas, además es importante mencionar que Jefes de Sector y Supervisores, deberán hacerse acreedores a recibir los apoyos, una vez que han entregado las evidencias a los Órganos Ejecutores Estatales, mismos que valoran e integran reportes a las Delegaciones, quienes realizan la dispersión de los recursos.   Efecto: Estimular la participación de los agentes educativos vinculados a las escuelas beneficiadas por las acciones compensatorias del Consejo. Las actividades realizadas en este proyecto a través de Jefes de Sector y Supervisores Escolares, se enmarcan en el convenio que subscriben de manera voluntaria, las cuales permite una mayor atención a escuelas, docentes y padres de familia de manera articulada, a través de diversas acciones que se fomentan mediante estrategias establecidas en los Programas Compensatorios.   Otros Motivos:</t>
    </r>
  </si>
  <si>
    <r>
      <t xml:space="preserve">Asesores Pedagógicos Itinerantes
</t>
    </r>
    <r>
      <rPr>
        <sz val="10"/>
        <rFont val="Soberana Sans"/>
        <family val="2"/>
      </rPr>
      <t xml:space="preserve"> Causa : Para el 2013, el Consejo Nacional de Fomento Educativo estableció el indicador de gestión Docente participante, que mide la eficacia en la captación de Asesores Pedagógicos Itinerantes (API) que proporcionarán apoyo a los servicios educativos. Al cierre del año, la meta alcanzada fue del 97.14 por ciento con respecto a la meta programada. Algunos estados presentaron dificultades para lograr la meta de API asignada debido a factores como la inseguridad, lejanía de las comunidades, oferta de empleo. Sin embargo, los estados continúan haciendo esfuerzos por captar los API faltantes para la conclusión del ciclo escolar 2013-2014.   Efecto: Mejora de los aprendizajes de los alumnos atendidos gracias a la Asesoría individualizada que brinda el API, además de la asesoría pedagógica al Instructor Comunitario. Mediante la intervención de los API se ha logrado un mayor involucramiento de los Padres de Familia en la educación de sus hijos y se fortalece la participación y la gestión escolar.   Otros Motivos:</t>
    </r>
  </si>
  <si>
    <t>E064</t>
  </si>
  <si>
    <t>Atención a la Demanda de Educación para Adultos (INEA)</t>
  </si>
  <si>
    <t>MDA-Instituto Nacional para la Educación de los Adultos</t>
  </si>
  <si>
    <t>Perspectiva de Género</t>
  </si>
  <si>
    <t>5 - Educación para Adultos</t>
  </si>
  <si>
    <t>7 - Educación para adultos de calidad</t>
  </si>
  <si>
    <t>Contribuir a disminuir las desigualdades en las oportunidades educativas entre grupos sociales de jóvenes y adultos sin educación básica, mediante la superación de su condición de rezago educativo.</t>
  </si>
  <si>
    <r>
      <t>Contribucion del Programa en la disminucion del rezago educativo</t>
    </r>
    <r>
      <rPr>
        <i/>
        <sz val="10"/>
        <color indexed="30"/>
        <rFont val="Soberana Sans"/>
        <family val="3"/>
      </rPr>
      <t xml:space="preserve">
</t>
    </r>
  </si>
  <si>
    <t>[(Rezago educativo que hubiera tenido el país al final del periodo examinado si no existiera el Programa) - (Rezago educativo del país con el Programa al final del periodo examinado)]</t>
  </si>
  <si>
    <t>Persona</t>
  </si>
  <si>
    <r>
      <t>Impacto neto del programa en el empoderamiento de la poblacion atendida</t>
    </r>
    <r>
      <rPr>
        <i/>
        <sz val="10"/>
        <color indexed="30"/>
        <rFont val="Soberana Sans"/>
        <family val="3"/>
      </rPr>
      <t xml:space="preserve">
</t>
    </r>
  </si>
  <si>
    <t>[(Índice promedio de empoderamiento de los beneficiarios del programa al final del año)  - (Índice promedio de empoderamiento de jóvenes y  adultos sin educación básica que no han tenido acceso al programa)]</t>
  </si>
  <si>
    <t>Indice de incremento</t>
  </si>
  <si>
    <t>Población objetivo de 15 años y más en condición de rezago educativo concluye su educación básica.</t>
  </si>
  <si>
    <r>
      <t>Impacto al rezago educativo</t>
    </r>
    <r>
      <rPr>
        <i/>
        <sz val="10"/>
        <color indexed="30"/>
        <rFont val="Soberana Sans"/>
        <family val="3"/>
      </rPr>
      <t xml:space="preserve">
Indicador Seleccionado</t>
    </r>
  </si>
  <si>
    <t>[((Número de personas atendidas en el Programa que concluyen el nivel secundaria en el año t) ÷ (El número de Personas de 15 años y más en rezago educativo en el año t-1))* 100]</t>
  </si>
  <si>
    <r>
      <t>Abatimiento del incremento neto al rezago educativo</t>
    </r>
    <r>
      <rPr>
        <i/>
        <sz val="10"/>
        <color indexed="30"/>
        <rFont val="Soberana Sans"/>
        <family val="3"/>
      </rPr>
      <t xml:space="preserve">
</t>
    </r>
  </si>
  <si>
    <t>[((Número de personas atendidas en el Programa que concluye secundaria en el año t) / ( El número neto de personas que se incorporaron al rezago educativo en el año t-1 ))* 100 ]</t>
  </si>
  <si>
    <r>
      <t>Avance del grado promedio de escolaridad de las personas atendidas en el programa</t>
    </r>
    <r>
      <rPr>
        <i/>
        <sz val="10"/>
        <color indexed="30"/>
        <rFont val="Soberana Sans"/>
        <family val="3"/>
      </rPr>
      <t xml:space="preserve">
</t>
    </r>
  </si>
  <si>
    <t>[(Escolaridad promedio de la población atendida al final de un año)  -  (La escolaridad promedio de la población atendida al inicio del año)]</t>
  </si>
  <si>
    <t>Grado</t>
  </si>
  <si>
    <t>A Servicios educativos de alfabetización, primaria y secundaria otorgados a la población de 15 años y más en condición de rezago educativo.</t>
  </si>
  <si>
    <r>
      <t xml:space="preserve">Personas que concluyen algún nivel educativo </t>
    </r>
    <r>
      <rPr>
        <i/>
        <sz val="10"/>
        <color indexed="30"/>
        <rFont val="Soberana Sans"/>
        <family val="3"/>
      </rPr>
      <t xml:space="preserve">
</t>
    </r>
  </si>
  <si>
    <t>[((Número de personas que concluyen algún nivel educativo en el año t) ÷ (Número de personas atendidas en el Programa en el año t) *100)]</t>
  </si>
  <si>
    <r>
      <t>Personas satisfechas con los servicios del Programa</t>
    </r>
    <r>
      <rPr>
        <i/>
        <sz val="10"/>
        <color indexed="30"/>
        <rFont val="Soberana Sans"/>
        <family val="3"/>
      </rPr>
      <t xml:space="preserve">
</t>
    </r>
  </si>
  <si>
    <t xml:space="preserve">[((Número de personas satisfechas con el Programa) / (El número de personas encuestadas)) * 100 ]  </t>
  </si>
  <si>
    <t>Estratégico-Calidad-Anual</t>
  </si>
  <si>
    <t>A 1 Fases para el otorgamiento del servicio educativo.</t>
  </si>
  <si>
    <r>
      <t>Asesores formados o actualizados</t>
    </r>
    <r>
      <rPr>
        <i/>
        <sz val="10"/>
        <color indexed="30"/>
        <rFont val="Soberana Sans"/>
        <family val="3"/>
      </rPr>
      <t xml:space="preserve">
</t>
    </r>
  </si>
  <si>
    <t>[((Número de asesores formados o actualizados) /(El número total de asesores))* 100]</t>
  </si>
  <si>
    <t>Gestión-Calidad-Trimestral</t>
  </si>
  <si>
    <r>
      <t>Exámenes acreditados</t>
    </r>
    <r>
      <rPr>
        <i/>
        <sz val="10"/>
        <color indexed="30"/>
        <rFont val="Soberana Sans"/>
        <family val="3"/>
      </rPr>
      <t xml:space="preserve">
</t>
    </r>
  </si>
  <si>
    <t>[((Número de exámenes acreditados)/(El número de exámenes presentados))*100]</t>
  </si>
  <si>
    <t>Examen</t>
  </si>
  <si>
    <r>
      <t>Módulos entregados a los beneficiarios del Programa</t>
    </r>
    <r>
      <rPr>
        <i/>
        <sz val="10"/>
        <color indexed="30"/>
        <rFont val="Soberana Sans"/>
        <family val="3"/>
      </rPr>
      <t xml:space="preserve">
</t>
    </r>
  </si>
  <si>
    <t>[(Número de módulos entregados a los beneficiarios del Programa y registrados en el SASA) / (El número de beneficiarios del Programa)]</t>
  </si>
  <si>
    <t>Módulo</t>
  </si>
  <si>
    <r>
      <t xml:space="preserve">Educandos activos en el MIB al inicio del año que presentaron al menos un examen en el año </t>
    </r>
    <r>
      <rPr>
        <i/>
        <sz val="10"/>
        <color indexed="30"/>
        <rFont val="Soberana Sans"/>
        <family val="3"/>
      </rPr>
      <t xml:space="preserve">
</t>
    </r>
  </si>
  <si>
    <t>[((Número de educandos activos en el MIB al inicio del año que presentaron al menos un examen en el año) / (El número de educandos activos en el MIB al inicio del año)) * 100]</t>
  </si>
  <si>
    <t>Gestión-Calidad-Anual</t>
  </si>
  <si>
    <r>
      <t xml:space="preserve">Certificados entregados </t>
    </r>
    <r>
      <rPr>
        <i/>
        <sz val="10"/>
        <color indexed="30"/>
        <rFont val="Soberana Sans"/>
        <family val="3"/>
      </rPr>
      <t xml:space="preserve">
</t>
    </r>
  </si>
  <si>
    <t>[((Numero de certificados entregados) / (El numero de beneficiarios que concluyen nivel primaria o secundaria)) *100]</t>
  </si>
  <si>
    <t>Documento</t>
  </si>
  <si>
    <r>
      <t>Impactos informativos del INEA en medios de comunicación</t>
    </r>
    <r>
      <rPr>
        <i/>
        <sz val="10"/>
        <color indexed="30"/>
        <rFont val="Soberana Sans"/>
        <family val="3"/>
      </rPr>
      <t xml:space="preserve">
</t>
    </r>
  </si>
  <si>
    <t xml:space="preserve">[((Número de impactos informativos en el periodo t) / (Número de impactos informativos en el periodo t-1)-1)*100] </t>
  </si>
  <si>
    <t>Gestión-Economía-Trimestral</t>
  </si>
  <si>
    <r>
      <t xml:space="preserve">Contribucion del Programa en la disminucion del rezago educativo
</t>
    </r>
    <r>
      <rPr>
        <sz val="10"/>
        <rFont val="Soberana Sans"/>
        <family val="2"/>
      </rPr>
      <t xml:space="preserve"> Causa : Se presentó un logro importante de usuarios que concluyeron Nivel en el Instituto, por lo que se impactó de manera favorable en el Rezago Educativo durante este año tanto en números absolutos como en términos relativos.   NOTA: Información estimada con base al Censo de Población y Vivienda 2010, INEGI, Proyecciones de Población CONAPO 2010-2030. Estadística del Sistema Educativo Nacional SEP. Cifras preliminares por ser logros estimados al cierre 2013, INEA.   Efecto: La contribución del Programa en la disminución del rezago educativo fue mayor a lo programado por el Instituto, por lo que se considera un logro importante en este materia. Otros Motivos:</t>
    </r>
  </si>
  <si>
    <r>
      <t xml:space="preserve">Impacto neto del programa en el empoderamiento de la poblacion atendida
</t>
    </r>
    <r>
      <rPr>
        <sz val="10"/>
        <rFont val="Soberana Sans"/>
        <family val="2"/>
      </rPr>
      <t xml:space="preserve"> Causa : En esta ocasión la evaluación de impacto se realizó en área rural y con población indígena de los estados de Oaxaca y Chiapas, por lo que el resultado en el índice de empoderamiento fue menor que el obtenido en el estudio de impacto anterior que fue realizado en área urbana a nivel nacional. Adicional a lo anterior, la medición de este estudio se complejizó al considerar 5 reactivos (en lugar de 2) correspondientes a la categoría de decisión y control sobre aspectos que afectan la vida diaria de los educandos del programa.   Efecto: Nuevamente los educandos atendidos por el Programa muestran porcentajes superiores de empoderamiento que nos adultos de los grupos control en la decisión y control de ciertos aspectos de su vida diaria tales como: exigencia de derechos humanos, solución de violencia en la pareja,  educación de lo hijos, disposición a correr riesgos y en la planeación de sus actividades diarias.   Otros Motivos:</t>
    </r>
  </si>
  <si>
    <r>
      <t xml:space="preserve">Impacto al rezago educativo
</t>
    </r>
    <r>
      <rPr>
        <sz val="10"/>
        <rFont val="Soberana Sans"/>
        <family val="2"/>
      </rPr>
      <t xml:space="preserve"> Causa : La Secretaría de Educación Pública estableció en el programa presupuestario E064 para el ejercicio 2013, el indicador estratégico ¿Impacto al rezago educativo¿, como un indicador de eficacia. Al cierre del año, se logró apoyar a 415,047 personas atendidas en el Programa, con lo que la meta de este indicador alcanzó un porcentaje de cumplimiento de 113.26%. Este comportamiento se explica principalmente por lo siguiente:  ¿ El Instituto Nacional para la Educación de los Adultos (INEA) reporta que el logro de Usuarios que Concluyeron Nivel Secundaria de la población objetivo (415,047) obtenidos  en este año fue mayor en 50,134 personas por lo que el impacto en el rezago fue 0.17% mayor que la meta programada.  ¿ El impacto en la disminución del índice de rezago educativo fue de 1.98%, debido a la ampliación presupuestal que recibió el Instituto correspondiente a 559 millones de pesos, lo que apoyó a la ampliación de recursos que se ministraron a los Institutos Estatales y Delegaciones del INEA para la prestación de los servicios educativos.  ¿ Cabe señalar que la población objetivo fue mayor que la que se estimó al inicio del año, por lo que se modificó la serie histórica de rezago educativo que anualmente estima el Instituto.    Efecto: Los beneficios económicos y sociales alcanzados con este indicador de propósito, contribuyeron a:  Rebasar la meta de Usuarios que concluyeron nivel de secundaria de la población objetivo, lo que significa que 415,047 personas de esta población superaron su condición de rezago educativo a través del Programa del INEA.   Otros Motivos:Para mayor información acerca de las causas de las variaciones entre la meta alcanzada y la meta original del indicador consultar el documento Análisis del Cumplimiento de los Indicadores para Resultados de la Secretaría de Educación Pública, correspondiente a la Cuenta de la Hacienda Pública Federal 2013. </t>
    </r>
  </si>
  <si>
    <r>
      <t xml:space="preserve">Abatimiento del incremento neto al rezago educativo
</t>
    </r>
    <r>
      <rPr>
        <sz val="10"/>
        <rFont val="Soberana Sans"/>
        <family val="2"/>
      </rPr>
      <t xml:space="preserve"> Causa :  El logro de Usuarios que Concluyeron Nivel Secundaria (462,143) obtenidos por el Instituto, fue mayor que el número de personas que se incorporaron al rezago educativo durante el año. Cabe señalar que el logro del indicador se incrementó de manera importante, tanto por los logros anuales de UCN que obtuvo el Instituto, como por la disminución en la cifra de personas que se incorporaron al rezago durante el presente año, lo que provocó la modificación de la serie histórica de rezago educativo que anualmente estima el Instituto. NOTA: Información estimada con base al Censo de Población y Vivienda 2010, INEGI, Proyecciones de Población CONAPO 2010-2030. Estadística del Sistema Educativo Nacional SEP. Cifras preliminares por ser logros estimados al cierre 2013, INEA. Efecto: Se rebasó la meta de Usuarios que Concluyen Nivel Secundaria, lo que significa que 462,143 personas superaron su condición de rezago educativo a través del Programa del INEA.   Otros Motivos:</t>
    </r>
  </si>
  <si>
    <r>
      <t xml:space="preserve">Avance del grado promedio de escolaridad de las personas atendidas en el programa
</t>
    </r>
    <r>
      <rPr>
        <sz val="10"/>
        <rFont val="Soberana Sans"/>
        <family val="2"/>
      </rPr>
      <t xml:space="preserve"> Causa : La presentación y acreditación de exámenes fue suficiente para cubrir la meta de avanzar un grado promedio de escolaridad de los usuarios del Programa. Efecto: Lo que permitió que el grado académico de los educandos se incrementara en 1.5 grados durante el año y de esta forma se cumpliera la meta anual. Otros Motivos:</t>
    </r>
  </si>
  <si>
    <r>
      <t xml:space="preserve">Personas que concluyen algún nivel educativo 
</t>
    </r>
    <r>
      <rPr>
        <sz val="10"/>
        <rFont val="Soberana Sans"/>
        <family val="2"/>
      </rPr>
      <t xml:space="preserve"> Causa : La ministración oportuna de los recursos financieros durante presente ejercicio fiscal  permitió a los Institutos Estatales y Delegaciones la prestación oportuna de los servicios educativos y el cumplimiento de la meta planteada de usuarios que concluyen nivel educativo.   Efecto: El cumplimiento de la meta de conclusión del nivel secundaria tiene como efecto la superación de la condición de rezago educativo en esta población y en el caso de los niveles de alfabetización y primaria permite la continuidad educativa al siguiente nivel.   Otros Motivos:</t>
    </r>
  </si>
  <si>
    <r>
      <t xml:space="preserve">Personas satisfechas con los servicios del Programa
</t>
    </r>
    <r>
      <rPr>
        <sz val="10"/>
        <rFont val="Soberana Sans"/>
        <family val="2"/>
      </rPr>
      <t xml:space="preserve"> Causa : La calificación promedio de 2013, bajó con relación a la obtenida en 2012, debido a que  los educandos entrevistados dieron menores calificaciones a los aspectos referidos al material educativo que en el 2012 fue de 97% y en el 2013 fue de 86%.   Efecto: Los reactivos referidos a material educativo presentaron bajas calificaciones debido a que no obstante contar con el material, no era el que los usuarios habían solicitado. El retraso en el programa editorial, derivó en entrega a los usuarios de los remanentes de material del año anterior.  Otros Motivos:</t>
    </r>
  </si>
  <si>
    <r>
      <t xml:space="preserve">Asesores formados o actualizados
</t>
    </r>
    <r>
      <rPr>
        <sz val="10"/>
        <rFont val="Soberana Sans"/>
        <family val="2"/>
      </rPr>
      <t xml:space="preserve"> Causa : Los directores de Institutos Estatales y Delegados han continuado con su compromiso de formación de asesores y su carga en el sistema de Registro Automatizado de Formación (RAF).  La meta anual fue cubierta en el segundo trimestre, por lo que para el cierre de año la meta ya fue superada.    Efecto: El efecto de la formación continua de asesores se ve reflejada en el aprovechamiento de los usuarios al presentar y acreditar un mayor número de exámenes y en su avance académico.  Otros Motivos:</t>
    </r>
  </si>
  <si>
    <r>
      <t xml:space="preserve">Exámenes acreditados
</t>
    </r>
    <r>
      <rPr>
        <sz val="10"/>
        <rFont val="Soberana Sans"/>
        <family val="2"/>
      </rPr>
      <t xml:space="preserve"> Causa : La  ministración oportuna de los recursos financieros durante el presente ejercicio permitió a los Institutos y Delegaciones Estatales la prestación oportuna de los servicios educativos y por consiguiente el cumplimiento de la meta planteada tanto de presentación como de acreditación de exámenes. La meta fue cubierta, derivado de una mayor eficiencia tanto en la presentación como en la acreditación de exámenes con respecto a la meta anual establecida. Efecto: La mayor presentación de exámenes provocó que el 75.8% de los educandos que los acreditaron continuaran su avance académico o  concluyeran nivel educativo.  Otros Motivos:</t>
    </r>
  </si>
  <si>
    <r>
      <t xml:space="preserve">Módulos entregados a los beneficiarios del Programa
</t>
    </r>
    <r>
      <rPr>
        <sz val="10"/>
        <rFont val="Soberana Sans"/>
        <family val="2"/>
      </rPr>
      <t xml:space="preserve"> Causa : Se logró la meta de entrega de material a los usuarios del Programa no obstante los primeros trimestres se enviaron los remanentes de material del programa editorial del año anterior por lo cual no correspondieron a los módulos solicitados por los usuarios sino el material que se tenía disponible.  Efecto:  Se logró cubrir los requerimientos del programa de material didáctico regular de los Institutos Estatales y Delegaciones, así como, se contó con material adicional de la Campaña Nacional de Alfabetización y Reducción de Rezago Educativo, rebasando de esta forma la meta anual. Cabe señalar que estas cifras de distribución de material incluyen material en CD, en línea e impreso.  Otros Motivos:</t>
    </r>
  </si>
  <si>
    <r>
      <t xml:space="preserve">Educandos activos en el MIB al inicio del año que presentaron al menos un examen en el año 
</t>
    </r>
    <r>
      <rPr>
        <sz val="10"/>
        <rFont val="Soberana Sans"/>
        <family val="2"/>
      </rPr>
      <t xml:space="preserve"> Causa : El logro de la meta se debe al esfuerzo para la permanencia y avance de la población indígena bilingüe, de los asesores bilingües responsables de su atención. Vale la pena resaltar que se tuvo un incremento de usuarios activos de más de dos mil respecto a lo estimado, considerando el grado de dificultad que presenta la población indígena para su incorporación y permanencia en los servicios educativos.   Efecto: La atención de este grupo vulnerable implica que la presentación de exámenes apoya la permanencia de estos en el programa y su respectivo avance educativo.   Otros Motivos:</t>
    </r>
  </si>
  <si>
    <r>
      <t xml:space="preserve">Certificados entregados 
</t>
    </r>
    <r>
      <rPr>
        <sz val="10"/>
        <rFont val="Soberana Sans"/>
        <family val="2"/>
      </rPr>
      <t xml:space="preserve"> Causa : El número de Usuarios que Concluyeron Nivel Educativo en primaria y secundaria fue mayor que el número de certificados entregados durante el último trimestre del año, debido a los tiempos establecidos para llevar a cabo los procesos administrativos que retrasan la emisión y entrega del documento cuyos criterios fueron modificados de 90 a 50 días. Además de lo anterior, externamente la entrega de certificados se puede incumplir por cambios en la residencia de las personas o bien falta de interés de los educandos por recoger su certificado.   Efecto: De los usuarios que concluyeron Nivel durante este año,  solamente el 68% recibió su certificado debido a los problemas administrativos anteriormente señalados.   Otros Motivos:</t>
    </r>
  </si>
  <si>
    <r>
      <t xml:space="preserve">Impactos informativos del INEA en medios de comunicación
</t>
    </r>
    <r>
      <rPr>
        <sz val="10"/>
        <rFont val="Soberana Sans"/>
        <family val="2"/>
      </rPr>
      <t xml:space="preserve"> Causa : El indicador de la meta alcanzada al cierre de 2013 es de -33.4, toda vez que a pesar de los esfuerzos que se realizaron durante el segundo trimestre para reforzar la política institucional de difusión en la que se consideraron además de los impactos nacionales del INEA, los de los Institutos Estatales y Delegaciones en los medios estatales de comunicación, no fue posible alcanzar la meta anual establecida para este indicador, debido principalmente  al cambio en las estrategias de difusión de bajo impacto que se realizaron durante este año en aras de la realización de la Campaña Nacional de Alfabetización y Reducción de Rezago Educativo.  Efecto: Baja promoción de la imagen institucional durante este año tanto a nivel federal como a nivel estatal.    Otros Motivos:</t>
    </r>
  </si>
  <si>
    <t>S027</t>
  </si>
  <si>
    <t>Programa de Mejoramiento del Profesorado (PROMEP)</t>
  </si>
  <si>
    <t>511-Dirección General de Educación Superior Universitaria</t>
  </si>
  <si>
    <t>3 - Educación Superior</t>
  </si>
  <si>
    <t>Contribuir a elevar la calidad de la educación mediante el desarrollo de profesionistas competentes a través de un profesorado de tiempo completo que eleva permanentemente su nivel de habilitación con base en los perfiles adecuados para cada subsistema de educación superior.</t>
  </si>
  <si>
    <r>
      <t>Porcentaje de Profesores de tiempo completo con estudios de posgrado por subsistema y año</t>
    </r>
    <r>
      <rPr>
        <i/>
        <sz val="10"/>
        <color indexed="30"/>
        <rFont val="Soberana Sans"/>
        <family val="3"/>
      </rPr>
      <t xml:space="preserve">
</t>
    </r>
  </si>
  <si>
    <t>(Número de PTC con estudios de posgrado de los subsistemas adscritos al PROMEP / Total de PTC en los subsistemas adscritos al PROMEP) * 100</t>
  </si>
  <si>
    <t>Los Profesores de Tiempo Completo (PTC) de instituciones públicas de educación superior con capacidades para realizar investigación-docencia se profesionalizan, se articulan y se consolidan en cuerpos académicos</t>
  </si>
  <si>
    <r>
      <t>Porcentaje de cuerpos académicos consolidados y en consolidación por área del conocimiento</t>
    </r>
    <r>
      <rPr>
        <i/>
        <sz val="10"/>
        <color indexed="30"/>
        <rFont val="Soberana Sans"/>
        <family val="3"/>
      </rPr>
      <t xml:space="preserve">
Indicador Seleccionado</t>
    </r>
  </si>
  <si>
    <t>(Número de cuerpos académicos consolidados y en consolidación en el año t por área del conocimiento / Número total de cuerpos académicos con registro en el año t )*100</t>
  </si>
  <si>
    <t>A Proyectos de investigación financiados por la SEP.</t>
  </si>
  <si>
    <r>
      <t>Productividad media de los proyectos de investigación financiados por el PROMEP</t>
    </r>
    <r>
      <rPr>
        <i/>
        <sz val="10"/>
        <color indexed="30"/>
        <rFont val="Soberana Sans"/>
        <family val="3"/>
      </rPr>
      <t xml:space="preserve">
</t>
    </r>
  </si>
  <si>
    <t xml:space="preserve">(Número total de productos académicos generados por proyecto de investigación financiado terminado en el año t/ Número total de proyectos financiados terminados en el año t) </t>
  </si>
  <si>
    <t>Promedio</t>
  </si>
  <si>
    <t>Gestión-Eficiencia-Anual</t>
  </si>
  <si>
    <t>B Cuerpos Académicos registrados que avanzan en su grado de consolidación.</t>
  </si>
  <si>
    <r>
      <t>Cuerpos académicos registrados en formación que cambian a un grado de consolidación superior por año</t>
    </r>
    <r>
      <rPr>
        <i/>
        <sz val="10"/>
        <color indexed="30"/>
        <rFont val="Soberana Sans"/>
        <family val="3"/>
      </rPr>
      <t xml:space="preserve">
</t>
    </r>
  </si>
  <si>
    <t>(Número de cuerpos académicos registrados en formación que en el año t cambian a un grado de consolidación superior/Total de cuerpos académicos registrados en formación que se evalúan en el año t)*100</t>
  </si>
  <si>
    <t>Cuerpo Académico en Formación</t>
  </si>
  <si>
    <t>C Becas otorgadas para realizar estudios de posgrado.</t>
  </si>
  <si>
    <r>
      <t>Tasa de variación en el número total de becas otorgadas por año para todas las áreas del conocimiento</t>
    </r>
    <r>
      <rPr>
        <i/>
        <sz val="10"/>
        <color indexed="30"/>
        <rFont val="Soberana Sans"/>
        <family val="3"/>
      </rPr>
      <t xml:space="preserve">
</t>
    </r>
  </si>
  <si>
    <t>((Número total de becas otorgadas en todas las áreas del conocimiento en el año t / Número total de becas otorgadas en todas las áreas del conocimiento en el año t-1) -1)*100</t>
  </si>
  <si>
    <t>D Profesores con perfil deseable reconocidos.</t>
  </si>
  <si>
    <r>
      <t>Porcentaje de profesores de tiempo completo con reconocimiento al perfil deseable PROMEP vigente en relación al total de profesores de tiempo completo con posgrado.</t>
    </r>
    <r>
      <rPr>
        <i/>
        <sz val="10"/>
        <color indexed="30"/>
        <rFont val="Soberana Sans"/>
        <family val="3"/>
      </rPr>
      <t xml:space="preserve">
</t>
    </r>
  </si>
  <si>
    <t>(Número de profesores con el reconocimiento al perfil deseable PROMEP vigente en el año t / Total de profesores con posgrado en el año t)*100</t>
  </si>
  <si>
    <r>
      <t>Porcentaje de exbecarios PROMEP y Nuevos PTCs que obtienen el reconocimiento de perfil deseable</t>
    </r>
    <r>
      <rPr>
        <i/>
        <sz val="10"/>
        <color indexed="30"/>
        <rFont val="Soberana Sans"/>
        <family val="3"/>
      </rPr>
      <t xml:space="preserve">
</t>
    </r>
  </si>
  <si>
    <t>(Número de exbecarios PROMEP y nuevos PTCs que al año t han obtenido el reconocimiento al perfil deseable / Número total de exbecarios PROMEP y nuevos PTCs apoyados hasta el año t-1 )*100</t>
  </si>
  <si>
    <t>A 1 Atención a las solicitudes aprobadas de ajustes en montos y rubros otorgados a nuevos Profesores de Tiempo  Completo y Exbecarios.</t>
  </si>
  <si>
    <r>
      <t>Porcentaje de ajustes y reconsideraciones de proyectos de investigación aprobadas atendidas en el año</t>
    </r>
    <r>
      <rPr>
        <i/>
        <sz val="10"/>
        <color indexed="30"/>
        <rFont val="Soberana Sans"/>
        <family val="3"/>
      </rPr>
      <t xml:space="preserve">
</t>
    </r>
  </si>
  <si>
    <t>(Número de reconsideraciones para solicitudes aprobadas atendidas en el año t / Número total de reconsideraciones para solicitudes recibidas en el año t)*100</t>
  </si>
  <si>
    <t>A 2 Convocatoria para que los Comités de pares evalúen las solicitudes de nuevos Profesores de Tiempo Completo y exbecarios con doctorado y que presentan proyecto de investigación.</t>
  </si>
  <si>
    <r>
      <t>Porcentaje de solicitudes con proyectos de investigación aprobadas por los comités de pares convocados por el PROMEP para su evaluación en el año respecto al total de solicitudes con proyectos de investigación recibidas</t>
    </r>
    <r>
      <rPr>
        <i/>
        <sz val="10"/>
        <color indexed="30"/>
        <rFont val="Soberana Sans"/>
        <family val="3"/>
      </rPr>
      <t xml:space="preserve">
</t>
    </r>
  </si>
  <si>
    <t>(Número de solicitudes con proyecto de investigación aprobadas por los comités de pares convocados por el PROMEP en el año t / Número total de solicitudes con proyecto recibidas en el año t)*100</t>
  </si>
  <si>
    <t>B 3 Actualización de información de los cuerpos académicos (altas, bajas de integrantes y/o modificaciones en las líneas de generación o aplicación innovadora del conocimiento).</t>
  </si>
  <si>
    <r>
      <t>Porcentaje de cuerpos académicos que solicitan cambios en su integración en el año</t>
    </r>
    <r>
      <rPr>
        <i/>
        <sz val="10"/>
        <color indexed="30"/>
        <rFont val="Soberana Sans"/>
        <family val="3"/>
      </rPr>
      <t xml:space="preserve">
</t>
    </r>
  </si>
  <si>
    <t>(Número de cuerpos académicos que solicitan cambios en su integración en el año t/ Número de cuerpos académicos registrados en PROMEP en el año t-1) * 100</t>
  </si>
  <si>
    <t>B 4 Convocatoria para que los Comités de pares evalúen las solicitudes de Cuerpos Académicos.</t>
  </si>
  <si>
    <r>
      <t>Porcentaje de cuerpos académicos que una vez evaluados son dictamidados en el grado de consolidación solicitado.</t>
    </r>
    <r>
      <rPr>
        <i/>
        <sz val="10"/>
        <color indexed="30"/>
        <rFont val="Soberana Sans"/>
        <family val="3"/>
      </rPr>
      <t xml:space="preserve">
</t>
    </r>
  </si>
  <si>
    <t>(Número de cuerpos académicos que después de la evaluación quedan en el grado solicitado en el año t/ Número de cuerpos académicos evaluados en el año t) * 100</t>
  </si>
  <si>
    <t>C 5 Atención a las solicitudes de ajustes en montos y rubros de las becas otorgadas.</t>
  </si>
  <si>
    <r>
      <t>Porcentaje de ajustes y reconsideraciones de becas aprobadas atendidas en el año</t>
    </r>
    <r>
      <rPr>
        <i/>
        <sz val="10"/>
        <color indexed="30"/>
        <rFont val="Soberana Sans"/>
        <family val="3"/>
      </rPr>
      <t xml:space="preserve">
</t>
    </r>
  </si>
  <si>
    <t>(Número de ajustes y reconsideraciones atendidas en el año para las becas vigentes en el año t / Número total de ajustes y reconsideraciones recibidas para las becas vigentes en el año t) * 100</t>
  </si>
  <si>
    <t xml:space="preserve">C 6 Convocatoria para que los Comités de pares evalúen las solicitudes de becas de posgrado. </t>
  </si>
  <si>
    <r>
      <t>Porcentaje de solicitudes de becas para estudios de posgrado aprobadas por los comités de pares convocados por el PROMEP para su evaluación en el año respecto de las solicitudes de becas recibidas</t>
    </r>
    <r>
      <rPr>
        <i/>
        <sz val="10"/>
        <color indexed="30"/>
        <rFont val="Soberana Sans"/>
        <family val="3"/>
      </rPr>
      <t xml:space="preserve">
</t>
    </r>
  </si>
  <si>
    <t>(Número de solicitudes de beca aprobadas por los comités de pares convocados por el PROMEP en el año t / Número total de solicitudes de becas recibidas en el año t) * 100</t>
  </si>
  <si>
    <t>D 7 Renovación del reconocimiento de perfil deseable para los Profesores de Tiempo Completo que terminan vigencia.</t>
  </si>
  <si>
    <r>
      <t>Porcentaje de profesores de tiempo completo de las instituciones adscritas al Promep que renuevan el reconocimiento al perfil deseable</t>
    </r>
    <r>
      <rPr>
        <i/>
        <sz val="10"/>
        <color indexed="30"/>
        <rFont val="Soberana Sans"/>
        <family val="3"/>
      </rPr>
      <t xml:space="preserve">
</t>
    </r>
  </si>
  <si>
    <t>(Número de solicitudes aprobadas para la renovación del reconocimiento a PTC con perfil deseable en el año t / Número total de solicitudes para el reconocimiento y apoyo a PTC con perfil deseable recibidas en el año t)*100</t>
  </si>
  <si>
    <r>
      <t xml:space="preserve">Porcentaje de Profesores de tiempo completo con estudios de posgrado por subsistema y año
</t>
    </r>
    <r>
      <rPr>
        <sz val="10"/>
        <rFont val="Soberana Sans"/>
        <family val="2"/>
      </rPr>
      <t xml:space="preserve"> Causa : La políticas federales sobre la habilitación, contratación y permanencia de profesores incide en la contratación de nuevos profesores con posgrado y la habilitación de los que ya se encuentran inscritos.  Efecto: Se logró tener un mayor número de profesores de tiempo completo con posgrado y por tanto la meta fue superada en 1.1% (Valores Alcanzados: Unidad de Medida: 46,628; Universo: 60,268; Indicador Real: 77.37%). Este aumento coadyuvará para que la educación superior sea impartida por profesores con la habilitación pertinente para realizar esta tarea. Otros Motivos:</t>
    </r>
  </si>
  <si>
    <r>
      <t xml:space="preserve">Porcentaje de cuerpos académicos consolidados y en consolidación por área del conocimiento
</t>
    </r>
    <r>
      <rPr>
        <sz val="10"/>
        <rFont val="Soberana Sans"/>
        <family val="2"/>
      </rPr>
      <t xml:space="preserve"> Causa : La Secretaría de Educación Pública estableció en el programa presupuestario S027 para el ejercicio 2013, el indicador estratégico Porcentaje de cuerpos académicos consolidados y en consolidación por área del conocimiento, como un indicador de eficacia. Al cierre del año, se logró apoyar a 2,167 cuerpos académicos consolidados y en consolidación, con lo que la meta de este indicador alcanzó una meta de 48.68 y un porcentaje de cumplimiento de 108.83%. Este comportamiento se explica principalmente por lo siguiente:    La Dirección General de Educación Superior Universitaria comenta que las políticas de apoyo y fomento a la investigación han sido adoptadas por las instituciones, logrando un avance que se refleja en la creciente evolución del grado de consolidación de los cuerpos académicos y en el interés por identificar nuevos grupos.     Efecto: Los beneficios económicos y sociales alcanzados con este indicador de propósito, contribuyeron a:   . A que el número total de cuerpos académicos que se encuentran en las fases de "consolidado" y "en consolidación" fuera mayor a lo esperado, esto provocó que la meta fuera superada.   . Lo anterior indica que un mayor número de grupos de investigación de las instituciones públicas de educación superior realizan cotidianamente investigaciones de interés en las diferentes áreas del conocimiento.        Otros Motivos:Para mayor información acerca de las causas de las variaciones entre la meta alcanzada y la meta original del indicador consultar el documento Análisis del Cumplimiento de los Indicadores para Resultados de la Secretaría de Educación Pública, correspondiente a la Cuenta de la Hacienda Pública Federal 2013. </t>
    </r>
  </si>
  <si>
    <r>
      <t xml:space="preserve">Productividad media de los proyectos de investigación financiados por el PROMEP
</t>
    </r>
    <r>
      <rPr>
        <sz val="10"/>
        <rFont val="Soberana Sans"/>
        <family val="2"/>
      </rPr>
      <t xml:space="preserve"> Causa : Los proyectos han sido presentados con mayor calidad dado que los comités de pares son cada vez más rigurosos Efecto: La obtención de un mayor número de productos de calidad, ha favorecido el que los profesores alcancen más rápidamente el perfil deseable y se incorporen al Sistema Nacional de Investigadores, alcanzando la meta establecida (Valores Alcanzados: Unidad de Medida: 825; Universo: 350; Indicador Real: 2.36). Otros Motivos:</t>
    </r>
  </si>
  <si>
    <r>
      <t xml:space="preserve">Cuerpos académicos registrados en formación que cambian a un grado de consolidación superior por año
</t>
    </r>
    <r>
      <rPr>
        <sz val="10"/>
        <rFont val="Soberana Sans"/>
        <family val="2"/>
      </rPr>
      <t xml:space="preserve"> Causa : Los comités de pares son cada vez más rigurosos en la valoración de los resultados del trabajo de los cuerpos académicos.    Efecto: Los cuerpos académicos en formación evaluados en esta promoción no lograron consolidar el trabajo colegiado de tal manera que ello no permitió avanzar en su desarrollo (Valores Alcanzados: Unidad de Medida: 142; Universo: 582; Indicador Real: 24.40%).    Otros Motivos:</t>
    </r>
  </si>
  <si>
    <r>
      <t xml:space="preserve">Tasa de variación en el número total de becas otorgadas por año para todas las áreas del conocimiento
</t>
    </r>
    <r>
      <rPr>
        <sz val="10"/>
        <rFont val="Soberana Sans"/>
        <family val="2"/>
      </rPr>
      <t xml:space="preserve"> Causa : El Programa atiende cada vez más instituciones de educación superior de diferentes subsistemas que buscan la habilitación de sus profesores; sin embargo, un gran número de ellos cuenta ya con los estudios de maestría, optar por un doctorado de buena calidad implicarìa una ausencuia hasta de cuatro años fuera de su institución, lo que ha provocado que la salida del PTC para realizar sus estudios sea complicado Efecto: De no haber polìticas enfocadas para estimular que los profesores continuen con sus estudios, esta tasa seguirá a la baja(Valores Alcanzados: Unidad de Medida: 383; Universo: 400; Indicador Real: -4.25%), aunado a que el promedio de edad de los profesores de tiempo completo sigue creciendo, por lo que la opción para realizar estudios de doctorado se ve más lejana Otros Motivos:</t>
    </r>
  </si>
  <si>
    <r>
      <t xml:space="preserve">Porcentaje de profesores de tiempo completo con reconocimiento al perfil deseable PROMEP vigente en relación al total de profesores de tiempo completo con posgrado.
</t>
    </r>
    <r>
      <rPr>
        <sz val="10"/>
        <rFont val="Soberana Sans"/>
        <family val="2"/>
      </rPr>
      <t xml:space="preserve"> Causa : El universo de cobertura aumentó considerablemente con respecto a lo estimado. Otra causa es la falta de gestión de los subsistema de reciente incorporación. Efecto: El porcentaje alcanzado en el conjunto de los subsistemas se ubicó 2.66 puntos porcentuales por debajo de lo estimado Otros Motivos:</t>
    </r>
  </si>
  <si>
    <r>
      <t xml:space="preserve">Porcentaje de exbecarios PROMEP y Nuevos PTCs que obtienen el reconocimiento de perfil deseable
</t>
    </r>
    <r>
      <rPr>
        <sz val="10"/>
        <rFont val="Soberana Sans"/>
        <family val="2"/>
      </rPr>
      <t xml:space="preserve"> Causa : Las instituciones adoptan la política nacional como elemento de calidad estimulando que sus profesores obtengan el Reconocimiento al Perfil Deseable. Efecto: El resultado alcanzado demuestra que los apoyos otorgados por las convocatorias para la incorporación de nuevos profesores de tiempo completo y la reincorporación de exbecarios propician que estos profesores realicen investigación de forma cotidiana y así completar su integración como profesores-investigadores (Valores Alcanzados: Unidad de Medida: 9,521; Universo: 12,344; Indicador Real: 77.13%) Otros Motivos:</t>
    </r>
  </si>
  <si>
    <r>
      <t xml:space="preserve">Porcentaje de ajustes y reconsideraciones de proyectos de investigación aprobadas atendidas en el año
</t>
    </r>
    <r>
      <rPr>
        <sz val="10"/>
        <rFont val="Soberana Sans"/>
        <family val="2"/>
      </rPr>
      <t xml:space="preserve"> Causa : Debido al mayor número de instituciones atendidas por el Programa, también se ha aumentado el número de solicitudes y de ajustes    Efecto: La meta no se alcanzó en un 0.47% debido a que el número de analistas sigue siendo el mismo para atender mayor número de solicitudes (Valores Alcanzados: Unidad de Medida: 2,611; Universo: 2,617; Indicador Real: 99.77%).    Otros Motivos:</t>
    </r>
  </si>
  <si>
    <r>
      <t xml:space="preserve">Porcentaje de solicitudes con proyectos de investigación aprobadas por los comités de pares convocados por el PROMEP para su evaluación en el año respecto al total de solicitudes con proyectos de investigación recibidas
</t>
    </r>
    <r>
      <rPr>
        <sz val="10"/>
        <rFont val="Soberana Sans"/>
        <family val="2"/>
      </rPr>
      <t xml:space="preserve"> Causa : Los proyectos han sido presentados con mayor calidad y los comités continuan exigiendo que los productos propuestos sean de la máxima calidad (artículos en revistas indizadas) Efecto: Las instituciones han mejorado sus prácticas de gestión al cumplir con las revisiones y criterios de calidad para que los proyectos enviados cumplan con éstos (Valores Alcanzados: Unidad de Medida: 897; Universo: 951; Indicador Real: 94.32%). Otros Motivos:</t>
    </r>
  </si>
  <si>
    <r>
      <t xml:space="preserve">Porcentaje de cuerpos académicos que solicitan cambios en su integración en el año
</t>
    </r>
    <r>
      <rPr>
        <sz val="10"/>
        <rFont val="Soberana Sans"/>
        <family val="2"/>
      </rPr>
      <t xml:space="preserve"> Causa : El número de cuerpos académicos que solicitaron cambios fue mayor al esperado, en virtud de que las instituciones de reciente incorporación así como los cuerpos académicos menos desarrollados buscan una mayor definición de sus líneas de investigación e integrantes con el propósito de lograr su consolidación.    Efecto: Aún cuando el número de cambios fue mayor ello obedece a que un número de profesores está adoptando esta política de integrarse en cuerpos académicos (Valores Alcanzados: Unidad de Medida: 1,605; Universo: 4,093; Indicador Real: 39.21%).    Otros Motivos:</t>
    </r>
  </si>
  <si>
    <r>
      <t xml:space="preserve">Porcentaje de cuerpos académicos que una vez evaluados son dictamidados en el grado de consolidación solicitado.
</t>
    </r>
    <r>
      <rPr>
        <sz val="10"/>
        <rFont val="Soberana Sans"/>
        <family val="2"/>
      </rPr>
      <t xml:space="preserve"> Causa : Los comités de pares son cada vez más rigurosos en la valoración de los resultados del trabajo de los cuerpos académicos. Efecto: El porcentaje de cuerpos académicos que obtuvieron el grado solicitado en la evaluación fue menor al proyectado (Valores Alcanzados: Unidad de Medida: 794; Universo: 1,418; Indicador Real: 55.99%). Sin embargo, el incremento en el universo de la evaluación muestra una mayor participación por parte de las Instituciones de Educación Superior en la implementación de la política pública y el número de cuerpos académicos que obtuvieron el grado de consolidación solicitado superó al proyectado en 21 unidades.       Otros Motivos:</t>
    </r>
  </si>
  <si>
    <r>
      <t xml:space="preserve">Porcentaje de ajustes y reconsideraciones de becas aprobadas atendidas en el año
</t>
    </r>
    <r>
      <rPr>
        <sz val="10"/>
        <rFont val="Soberana Sans"/>
        <family val="2"/>
      </rPr>
      <t xml:space="preserve"> Causa : La mecanización y sistematización del procedimiento de atención a las solicitudes de ajustes y reconsideraciones dentro del PROMEP ha permitido atender un mayor número de solicitudes de ajuste. Efecto: Mayor un número de profesores podán terminar sus estudios dado que se atendieron sus necesidades (Valores Alcanzados: Unidad de Medida: 1,122; Universo: 1,139; Indicador Real: 119.49%). Otros Motivos:</t>
    </r>
  </si>
  <si>
    <r>
      <t xml:space="preserve">Porcentaje de solicitudes de becas para estudios de posgrado aprobadas por los comités de pares convocados por el PROMEP para su evaluación en el año respecto de las solicitudes de becas recibidas
</t>
    </r>
    <r>
      <rPr>
        <sz val="10"/>
        <rFont val="Soberana Sans"/>
        <family val="2"/>
      </rPr>
      <t xml:space="preserve"> Causa : El Programa establece los requisitos que deben tener las solicitudes para poder optar por una beca, teniendo 15 días naturales para entregar documentación faltante Efecto: La meta no fue lograda (Valores Alcanzados: Unidad de Medida: 383; Universo: 442; Indicador Real: 86.65%) en virtud de que los profesores no entregan en tiempo y forma la carta de aceptaciòn definitiva al posgrado o alguno de los documentos solicitados en las Reglas de operación. Otros Motivos:</t>
    </r>
  </si>
  <si>
    <r>
      <t xml:space="preserve">Porcentaje de profesores de tiempo completo de las instituciones adscritas al Promep que renuevan el reconocimiento al perfil deseable
</t>
    </r>
    <r>
      <rPr>
        <sz val="10"/>
        <rFont val="Soberana Sans"/>
        <family val="2"/>
      </rPr>
      <t xml:space="preserve"> Causa : El número de solicitudes recibidas fue mayor al proyectado. Efecto: El porcentaje alcanzado en el número de renovaciones se ubicó 6.16 puntos porcentuales por debajo de proyectado (Valores Alcanzados: Unidad de Medida: 5,520; Universo: 8,000; Indicador Real: 69%). No obstante, el porcentaje logrado dentro del conjunto de las Universidades Públicas Estatales que son las que cuentan con una mayor participación y presentan el mayor volumen de solicitudes es del 70%. Otros Motivos:</t>
    </r>
  </si>
  <si>
    <t>S028</t>
  </si>
  <si>
    <t>Programa Nacional de Becas y Financiamiento (PRONABES)</t>
  </si>
  <si>
    <t>500-Subsecretaría de Educación Superior</t>
  </si>
  <si>
    <t>5 - Educación superior de calidad</t>
  </si>
  <si>
    <t>Contribuir a lograr a la igualdad de oportunidades de permanencia y egreso de los estudiantes de escasos recursos en la educación superior pública.</t>
  </si>
  <si>
    <r>
      <t xml:space="preserve">Relación de eficiencia de terminación entre becarios del PRONABES y no becarios del programa en la educación superior pública. </t>
    </r>
    <r>
      <rPr>
        <i/>
        <sz val="10"/>
        <color indexed="30"/>
        <rFont val="Soberana Sans"/>
        <family val="3"/>
      </rPr>
      <t xml:space="preserve">
</t>
    </r>
  </si>
  <si>
    <t>(Número de alumnos beneficiarios de PRONABES que concluyen el ciclo escolar (t) / Número de alumnos beneficiarios de PRONABES que inician el ciclo escolar (t)) / (Número de alumnos no beneficiarios de PRONABES que concluyen el ciclo escolar (t) / Número de alumnos no beneficiarios de PRONABES que inician el ciclo escolar (t))</t>
  </si>
  <si>
    <t>Los alumnos inscritos en la educación superior pública, integrantes de hogares con ingresos menores o iguales a cuatro salarios mínimos per cápita, cuentan con recursos adicionales para cubrir gastos derivados de sus estudios.</t>
  </si>
  <si>
    <r>
      <t>Porcentaje de alumnos inscritos en la educación superior pública, integrantes de hogares con ingresos menores o iguales a cuatro salarios mínimos per cápita, que cuentan con beca PRONABES.</t>
    </r>
    <r>
      <rPr>
        <i/>
        <sz val="10"/>
        <color indexed="30"/>
        <rFont val="Soberana Sans"/>
        <family val="3"/>
      </rPr>
      <t xml:space="preserve">
Indicador Seleccionado</t>
    </r>
  </si>
  <si>
    <t>(Total de estudiantes beneficiados por el programa en el periodo escolar (t) / Total de alumnos  que cursan la educación superior en instituciones públicas en el periodo escolar (t) y provienen de hogares con ingresos menores o iguales a cuatro salarios mínimos per cápita)*100</t>
  </si>
  <si>
    <t>A Becas otorgadas a estudiantes en situación de desventaja económica.</t>
  </si>
  <si>
    <r>
      <t>Porcentaje de alumnas beneficiadas por el programa.</t>
    </r>
    <r>
      <rPr>
        <i/>
        <sz val="10"/>
        <color indexed="30"/>
        <rFont val="Soberana Sans"/>
        <family val="3"/>
      </rPr>
      <t xml:space="preserve">
</t>
    </r>
  </si>
  <si>
    <t xml:space="preserve">(Total de alumnas inscritas en las Instituciones de Educación Superior que reciben beca en el año (t) / Total de becas asignadas en el año (t)) * 100  </t>
  </si>
  <si>
    <r>
      <t>Tasa anual de crecimiento de becas otorgadas por el PRONABES.</t>
    </r>
    <r>
      <rPr>
        <i/>
        <sz val="10"/>
        <color indexed="30"/>
        <rFont val="Soberana Sans"/>
        <family val="3"/>
      </rPr>
      <t xml:space="preserve">
</t>
    </r>
  </si>
  <si>
    <t>((Total de alumnos que reciben beca PRONABES en el año (t)/Total de alumnos que reciben beca en el año (t-1))-1)*100</t>
  </si>
  <si>
    <t>A 1 Entrega oportuna de recursos Federales a los PRONABES estatales o institucionales.</t>
  </si>
  <si>
    <r>
      <t>Porcentaje de PRONABES estatales o institucionales que cuentan oportunamente con los recursos necesarios para el pago de becas.</t>
    </r>
    <r>
      <rPr>
        <i/>
        <sz val="10"/>
        <color indexed="30"/>
        <rFont val="Soberana Sans"/>
        <family val="3"/>
      </rPr>
      <t xml:space="preserve">
</t>
    </r>
  </si>
  <si>
    <t>(Total de PRONABES estatales o institucionales que reciben al mes de octubre los recursos necesarios para el primer pago mensual de las becas / Total de PRONABES estatales o institucionales que participan en el programa) *100</t>
  </si>
  <si>
    <t>A 2 Aprobación de las convocatorias de becas</t>
  </si>
  <si>
    <r>
      <t>Porcentaje de convocatorias autorizadas para su publicación.</t>
    </r>
    <r>
      <rPr>
        <i/>
        <sz val="10"/>
        <color indexed="30"/>
        <rFont val="Soberana Sans"/>
        <family val="3"/>
      </rPr>
      <t xml:space="preserve">
</t>
    </r>
  </si>
  <si>
    <t>(Número de convocatorias autorizadas en el ciclo escolar (t) / Número de convocatorias recibidas en el ciclo escolar (t)) *100</t>
  </si>
  <si>
    <r>
      <t xml:space="preserve">Relación de eficiencia de terminación entre becarios del PRONABES y no becarios del programa en la educación superior pública. 
</t>
    </r>
    <r>
      <rPr>
        <sz val="10"/>
        <rFont val="Soberana Sans"/>
        <family val="2"/>
      </rPr>
      <t xml:space="preserve"> Causa : Se mantiene el indicador respecto del ciclo anterior. No hay variaciones en la tasa de permanencia de becarios en la educación superior. Efecto: Las becas han contribuido para disminuir la deserción escolar, aumenta la permanencia de los estudiantes en sus estudios y fomenta el ingreso a la educación superior. Otros Motivos:</t>
    </r>
  </si>
  <si>
    <r>
      <t xml:space="preserve">Porcentaje de alumnos inscritos en la educación superior pública, integrantes de hogares con ingresos menores o iguales a cuatro salarios mínimos per cápita, que cuentan con beca PRONABES.
</t>
    </r>
    <r>
      <rPr>
        <sz val="10"/>
        <rFont val="Soberana Sans"/>
        <family val="2"/>
      </rPr>
      <t xml:space="preserve"> Causa : La Secretaría de Educación Pública estableció en el programa presupuestario S028 para el ejercicio 2013, el indicador estratégico Porcentaje de alumnos inscritos en la educación superior pública, integrantes de hogares con ingresos menores o iguales a cuatro salarios mínimos per cápita, que cuentan con beca PRONABES, como un indicador de eficacia. Al cierre del año, se logró apoyar a 336,914 estudiantes con el programa, con lo que la meta de este indicador alcanzó un porcentaje de cumplimiento de 110.80%. Este comportamiento se explica principalmente por lo siguiente:   La Subsecretaría de Educación Superior comentó que se incrementó el número de alumnos becarios provenientes de hogares con ingresos menores o iguales a cuatro salarios mínimos per cápita, debido, principalmente, a que en 2013 se contó con mayores recursos presupuestarios por parte de la federación.   Asimismo, los estados e instituciones aportaron oportunamente al programa los recursos convenidos.      Efecto: Los beneficios económicos y sociales alcanzados con este indicador de propósito, contribuyeron a:   Superar el número estimado de alumnos becados, con lo que se contribuye al ingreso, permanencia y egreso oportuno de jóvenes inscritos en Instituciones Públicas de Educación Superior.      Otros Motivos:</t>
    </r>
  </si>
  <si>
    <r>
      <t xml:space="preserve">Porcentaje de alumnas beneficiadas por el programa.
</t>
    </r>
    <r>
      <rPr>
        <sz val="10"/>
        <rFont val="Soberana Sans"/>
        <family val="2"/>
      </rPr>
      <t xml:space="preserve"> Causa : El número de alumnas beneficiadas por el programa aumentó respecto a lo programado. Los comités estatales e institucionales entregaron un mayor número de becas a mujeres estudiantes de la educación superior que cumplían los requisitos establecidos en las Reglas de Operación y en las convocatorias.  Efecto: Las becas a  mujeres estudiantes de la educación superior contribuyen a disminuir la desigualdad en el acceso y permanencia este ciclo educativo. Así mismo se fortalece los principios de igualdad entre mujeres y hombres.  Otros Motivos:</t>
    </r>
  </si>
  <si>
    <r>
      <t xml:space="preserve">Tasa anual de crecimiento de becas otorgadas por el PRONABES.
</t>
    </r>
    <r>
      <rPr>
        <sz val="10"/>
        <rFont val="Soberana Sans"/>
        <family val="2"/>
      </rPr>
      <t xml:space="preserve"> Causa : El Programa Nacional de Becas y Financiamiento contó con mayores recursos presupuestarios.  Efecto: Se incrementó el número de alumnos beneficiados por el programa; lo que contribuye al ingreso, permanencia y egreso oportuno de la educación superior.  Otros Motivos:</t>
    </r>
  </si>
  <si>
    <r>
      <t xml:space="preserve">Porcentaje de PRONABES estatales o institucionales que cuentan oportunamente con los recursos necesarios para el pago de becas.
</t>
    </r>
    <r>
      <rPr>
        <sz val="10"/>
        <rFont val="Soberana Sans"/>
        <family val="2"/>
      </rPr>
      <t xml:space="preserve"> Causa : Los comités estatales e institucionales encargados de la operación del programa recibieron a tiempo los recursos, aportación federal, para el pago oportuno de becas a estudiantes beneficiarios.  Efecto: Los becarios contaron con su beca de manera oportuna, lo que contribuye a que permanezcan en sus estudios de nivel superior.  Otros Motivos:</t>
    </r>
  </si>
  <si>
    <r>
      <t xml:space="preserve">Porcentaje de convocatorias autorizadas para su publicación.
</t>
    </r>
    <r>
      <rPr>
        <sz val="10"/>
        <rFont val="Soberana Sans"/>
        <family val="2"/>
      </rPr>
      <t xml:space="preserve"> Causa : La Coordinación Nacional de Becas de Educación Superior revisó y aprobó de manera oportuna las convocatorias del programa para su publicación en instituciones y en los estados.  Efecto: Los alumnos de instituciones públicas de educación superior contaron con convocatorias de manera oportuna para participar en el Programa Nacional de Becas y Financiamiento.  Otros Motivos:</t>
    </r>
  </si>
  <si>
    <t>S029</t>
  </si>
  <si>
    <t>Programa Escuelas de Calidad</t>
  </si>
  <si>
    <t>310-Dirección General de Desarrollo de la Gestión e Innovación Educativa</t>
  </si>
  <si>
    <t>16 - Complemento a los servicios educativos</t>
  </si>
  <si>
    <t>Contribuir a la mejora del logro académico de los estudiantes en escuelas públicas de educación básica mediante la implementación del Modelo de Gestión Educativa Estratégica.</t>
  </si>
  <si>
    <r>
      <t>Diferencia entre la proporción de alumnos que alcanzan al menos el nivel elemental en los resultados de la prueba ENLACE entre escuelas públicas beneficiadas y no beneficiadas por el Programa Escuelas de Calidad</t>
    </r>
    <r>
      <rPr>
        <i/>
        <sz val="10"/>
        <color indexed="30"/>
        <rFont val="Soberana Sans"/>
        <family val="3"/>
      </rPr>
      <t xml:space="preserve">
Indicador Seleccionado</t>
    </r>
  </si>
  <si>
    <t>(Porcentaje de escuelas públicas primarias y secundarias beneficiadas por el Programa Escuelas de Calidad  que logran el nivel elemental o más en la prueba ENLACE en el año t -Porcentaje de escuelas públicas primarias y secundarias no beneficiadas por el Programa Escuelas de Calidad que logran el nivel elemental o más en la prueba ENLACE en el año t )</t>
  </si>
  <si>
    <t>Proporción</t>
  </si>
  <si>
    <t>Escuelas públicas de educación básica transforman su gestión escolar a través de la implementación de la Gestión Educativa y de la Planeación Estratégica.</t>
  </si>
  <si>
    <r>
      <t>Porcentaje de escuelas PEC que permanecen cinco ciclos escolares o más, respecto del total de escuelas beneficiadas por el Programa en último el ciclo escolar.</t>
    </r>
    <r>
      <rPr>
        <i/>
        <sz val="10"/>
        <color indexed="30"/>
        <rFont val="Soberana Sans"/>
        <family val="3"/>
      </rPr>
      <t xml:space="preserve">
</t>
    </r>
  </si>
  <si>
    <t>(Número de escuelas que en el año t  completaron al menos cinco ciclos escolares en el Programa Escuelas de Calidad /Total de escuelas beneficiadas por el programa en año t)*100</t>
  </si>
  <si>
    <t>A Escuelas PEC cuentan con Consejos Escolares que impulsan la Participación Social</t>
  </si>
  <si>
    <r>
      <t>Porcentaje anual de escuelas PEC con Consejos Escolares de Participación Social inscritos en el Registro Público de Consejos Escolares (REPUCE).</t>
    </r>
    <r>
      <rPr>
        <i/>
        <sz val="10"/>
        <color indexed="30"/>
        <rFont val="Soberana Sans"/>
        <family val="3"/>
      </rPr>
      <t xml:space="preserve">
</t>
    </r>
  </si>
  <si>
    <t>(Número de escuelas PEC con Consejos Escolares de Participación Social inscritos en el REPUCE en el ciclo escolar t / Total de escuelas PEC que participan en el ciclo escolar t)*100</t>
  </si>
  <si>
    <t>B Directores de escuelas de educación básica capacitados en el Modelo de Gestión Educativa Estratégica por los equipos estatales de PEC</t>
  </si>
  <si>
    <r>
      <t>Porcentaje de directivos de escuelas de educación básica capacitados anualmente en el Modelo de Gestión Educativa Estratégica.</t>
    </r>
    <r>
      <rPr>
        <i/>
        <sz val="10"/>
        <color indexed="30"/>
        <rFont val="Soberana Sans"/>
        <family val="3"/>
      </rPr>
      <t xml:space="preserve">
</t>
    </r>
  </si>
  <si>
    <t>(Número de directivos capacitados en el Modelo de Gestión Educativa Estratégica en el ciclo escolar t/ Total de directivos programados a capacitar en el Modelo de Gestión Educativa Estratégica en el ciclo escolar t)*100</t>
  </si>
  <si>
    <t>C Supervisores de educación básica capacitados en el Modelo de Gestión Educativa Estratégica, por los equipos estatales de PEC, al ciclo escolar</t>
  </si>
  <si>
    <r>
      <t>Porcentaje de Supervisores de educación básica capacitados anualmente en el  Modelo de Gestión Educativa Estratégica</t>
    </r>
    <r>
      <rPr>
        <i/>
        <sz val="10"/>
        <color indexed="30"/>
        <rFont val="Soberana Sans"/>
        <family val="3"/>
      </rPr>
      <t xml:space="preserve">
</t>
    </r>
  </si>
  <si>
    <t>(Número de supervisores capacitados en el Modelo de Gestión Educativa Estratégica en el ciclo escolar t / Total de supervisores programados a capacitar en el Modelo de Gestión Educativa Estratégica en el ciclo escolar t)*100</t>
  </si>
  <si>
    <t>D Escuelas públicas de educación básica beneficiadas por el Programa financieramente y/o con apoyo técnico pedagógico.</t>
  </si>
  <si>
    <r>
      <t>Porcentaje total de escuelas beneficiadas anualmente por el Programa Escuelas de Calidad con recurso financiero y/o apoyo técnico-pedagógico.</t>
    </r>
    <r>
      <rPr>
        <i/>
        <sz val="10"/>
        <color indexed="30"/>
        <rFont val="Soberana Sans"/>
        <family val="3"/>
      </rPr>
      <t xml:space="preserve">
</t>
    </r>
  </si>
  <si>
    <t>(Número de escuelas beneficiadas con recurso financiero y/o apoyo técnico-pedagógico durante el ciclo escolar t /Total de escuelas programadas a beneficiar con recurso financiero y/o apoyo técnico-pedagógico en el ciclo escolar t ) * 100</t>
  </si>
  <si>
    <t>A 1 Las entidades federativas cuentan con los recursos federales  para la implementación del Modelo de Gestión Educativa Estratégica (MGEE) en las escuelas PEC</t>
  </si>
  <si>
    <r>
      <t>Porcentaje anual de Entidades federativas que reciben en tiempo los recursos federales</t>
    </r>
    <r>
      <rPr>
        <i/>
        <sz val="10"/>
        <color indexed="30"/>
        <rFont val="Soberana Sans"/>
        <family val="3"/>
      </rPr>
      <t xml:space="preserve">
</t>
    </r>
  </si>
  <si>
    <t>(Número de entidades federativas que reciben en tiempo recursos federales en proporción al depósito estatal / Total de entidades federativas participantes)*100</t>
  </si>
  <si>
    <t>B 2 Capacitación a los Equipos Técnicos Estatales para impulsar la implementación del Modelo de Gestión Educativa Estratégica en las escuelas públicas de educación básica.</t>
  </si>
  <si>
    <r>
      <t>Porcentaje de Equipos Técnicos Estatales que participan en al menos dos ocasiones en acciones de capacitación durante el ciclo escolar.</t>
    </r>
    <r>
      <rPr>
        <i/>
        <sz val="10"/>
        <color indexed="30"/>
        <rFont val="Soberana Sans"/>
        <family val="3"/>
      </rPr>
      <t xml:space="preserve">
</t>
    </r>
  </si>
  <si>
    <t>(Número de equipos técnicos estatales que participan en al menos dos ocasiones en acciones de capacitación durante el ciclo escolar t  / Total de equipos técnicos estatales programados a capacitar en el ciclo escolar t)*100</t>
  </si>
  <si>
    <t>C 3 Asesorar y acompañar a los Equipos Técnicos Estatales para impulsar la implementación del Modelo de Gestión Educativa Estratégica en las escuelas públicas de educación básica.</t>
  </si>
  <si>
    <r>
      <t>Porcentaje anual de Coordinaciones Generales Estatales del PEC satisfechas con la asesoría y acompañamiento de la CNPEC</t>
    </r>
    <r>
      <rPr>
        <i/>
        <sz val="10"/>
        <color indexed="30"/>
        <rFont val="Soberana Sans"/>
        <family val="3"/>
      </rPr>
      <t xml:space="preserve">
</t>
    </r>
  </si>
  <si>
    <t>(Número de Coordinaciones Generales Estatales del PEC satisfechas con la asesoría y acompañamiento en el año t / Total de Coordinaciones Generales Estatales del PEC que contestan el cuestionario sobre la asesoría y acompañamiento en el año t )*100</t>
  </si>
  <si>
    <r>
      <t>Porcentaje de Equipos Técnicos Estatales que participan en al menos dos ocasiones en acciones de asesoría y acompañamiento durante el ciclo escolar.</t>
    </r>
    <r>
      <rPr>
        <i/>
        <sz val="10"/>
        <color indexed="30"/>
        <rFont val="Soberana Sans"/>
        <family val="3"/>
      </rPr>
      <t xml:space="preserve">
</t>
    </r>
  </si>
  <si>
    <t>(Número de equipos técnicos estatales que participan en al menos dos ocasiones en acciones de asesoría y acompañamiento durante el ciclo escolar t / Total de equipos técnicos estatales  en el  ciclo escolar t)*100</t>
  </si>
  <si>
    <t>D 4 Dispersión de recursos financieros a las escuelas beneficiadas por el PEC para apoyar la implementación del Modelo de Gestión Educativa Estratégica.</t>
  </si>
  <si>
    <r>
      <t>Porcentaje en la distribución de recursos federales de las entidades federativas a las escuelas PEC</t>
    </r>
    <r>
      <rPr>
        <i/>
        <sz val="10"/>
        <color indexed="30"/>
        <rFont val="Soberana Sans"/>
        <family val="3"/>
      </rPr>
      <t xml:space="preserve">
</t>
    </r>
  </si>
  <si>
    <t>(Monto de recursos federales distribuidos por las entidades federativas a las escuelas PEC en el ciclo escolar t  / Total de recursos federales transferidos en el ciclo escolar t) * 100</t>
  </si>
  <si>
    <r>
      <t xml:space="preserve">Diferencia entre la proporción de alumnos que alcanzan al menos el nivel elemental en los resultados de la prueba ENLACE entre escuelas públicas beneficiadas y no beneficiadas por el Programa Escuelas de Calidad
</t>
    </r>
    <r>
      <rPr>
        <sz val="10"/>
        <rFont val="Soberana Sans"/>
        <family val="2"/>
      </rPr>
      <t xml:space="preserve"> Causa : La Secretaría de Educación Pública estableció en el programa presupuestario S029 para el ejercicio 2013, el indicador estratégico Diferencia entre la proporción de alumnos que alcanzan al menos el nivel elemental en los resultados de la prueba ENLACE entre escuelas públicas beneficiadas y no beneficiadas por el Programa Escuelas de Calidad, como un indicador de eficacia. Al cierre del año, se logró una meta de este indicador de 3.66 puntos porcentuales en la diferencia entre la proporción de alumnos que alcanzan al menos el nivel elemental en los resultados de la prueba ENLACE, con lo cual alcanzó un porcentaje de cumplimiento de 166.36%. Este comportamiento se explica principalmente por lo siguiente:   . La Dirección General de Desarrollo de la Gestión e Innovación Educativa informa que la meta programada se rebasó ya que fue mayor la diferencia entre Porcentaje de escuelas públicas primarias y secundarias beneficiadas por el Programa Escuelas de Calidad que logran el nivel elemental o más en la prueba ENLACE, en relación con el porcentaje de escuelas públicas primarias y secundarias no beneficiadas por el Programa Escuelas de Calidad que logran el nivel elemental o más en la prueba ENLACE en el año.          Efecto: Los beneficios económicos y sociales alcanzados con los resultados de este indicador de fin, contribuyeron a:   . Con el fortalecimiento de la autonomía de gestión, así como del fomento a la corresponsabilidad de la comunidad escolar, se logró impactar en la mejora del logro educativo de los alumnos que se encuentran en escuelas beneficiadas por el Programa Escuelas de Calidad.    Otros Motivos:</t>
    </r>
  </si>
  <si>
    <r>
      <t xml:space="preserve">Porcentaje de escuelas PEC que permanecen cinco ciclos escolares o más, respecto del total de escuelas beneficiadas por el Programa en último el ciclo escolar.
</t>
    </r>
    <r>
      <rPr>
        <sz val="10"/>
        <rFont val="Soberana Sans"/>
        <family val="2"/>
      </rPr>
      <t xml:space="preserve"> Causa : Se cuenta con un avance de 1973 escuelas que permanecen cinco ciclos escolares o más, respecto del total de escuelas beneficiadas por el Programa en último el ciclo escolar, la cifra definitiva se tendrá una vez que concluya el ciclo escolar 2013-2014 y se validen los datos.  Efecto: Debido a que se modificó la fórmula del indicador este no es comparable con el año anterior sin embargo los resultados indican que el programa está impactando en gestión de las escuelas en beneficio de los alumnos.  Otros Motivos:</t>
    </r>
  </si>
  <si>
    <r>
      <t xml:space="preserve">Porcentaje anual de escuelas PEC con Consejos Escolares de Participación Social inscritos en el Registro Público de Consejos Escolares (REPUCE).
</t>
    </r>
    <r>
      <rPr>
        <sz val="10"/>
        <rFont val="Soberana Sans"/>
        <family val="2"/>
      </rPr>
      <t xml:space="preserve"> Causa : El avance de la meta es de 39,779 escuelas PEC con Consejos Escolares de Participación Social inscritos en el Registro Público de Consejos Escolares inscritos en el Registro Público de Consejos Escolares lo cual representa un avance del 85.25 por ciento respecto de la meta, se estima alcanzar la meta establecida de acuerdo al comportamiento  que se tienen en las escuelas que participan en el programa.  Debido a que el programa trabaja por ciclo escolar la cifra definitiva se conocerá una vez que concluya y se validen las cifras en el sistema.   Efecto: Con este indicador se impulsa por parte del programa que las escuelas con Consejos Escolares de Participación Social se inscriban en el Registro Público de Consejos Escolares y cumplan con la normativa aplicable.  Otros Motivos:</t>
    </r>
  </si>
  <si>
    <r>
      <t xml:space="preserve">Porcentaje de directivos de escuelas de educación básica capacitados anualmente en el Modelo de Gestión Educativa Estratégica.
</t>
    </r>
    <r>
      <rPr>
        <sz val="10"/>
        <rFont val="Soberana Sans"/>
        <family val="2"/>
      </rPr>
      <t xml:space="preserve"> Causa : Se cuenta con un avanece de 49,281 directivos de escuelas de educación básica capacitados en el Modelo de Gestión Educativa Estratégica, lo cual representa un avance del 90.1 con respecto al ciclo escolar anterior.  Debido a que el programa trabaja por ciclo escolar la cifra definitiva se conocerá una vez que concluya y se validen las cifras.   Efecto: El impacto que se tiene al capacitar a directivos de escuelas de educación básica en el Modelo de Gestión Educativa Estratégica, es que cuentan con las herramientas para la implementación de su planeación en las escuelas.  Otros Motivos:</t>
    </r>
  </si>
  <si>
    <r>
      <t xml:space="preserve">Porcentaje de Supervisores de educación básica capacitados anualmente en el  Modelo de Gestión Educativa Estratégica
</t>
    </r>
    <r>
      <rPr>
        <sz val="10"/>
        <rFont val="Soberana Sans"/>
        <family val="2"/>
      </rPr>
      <t xml:space="preserve"> Causa : Se capacitaron a 9, 288 Supervisores de educación básica en el Modelo de Gestión Educativa Estratégica lo cual representa un crecimiento respecto al año anterior de un 3.6 de supervisores capacitados.  La meta no se alcanzó debido a que Oaxaca  no participo en el proceso de capacitación.   Efecto: Dicha capacitación impacta en la implementación de acciones estratégicas que permiten la mejora de docentes y alumnos.  Es importante señalar que en el año 2013, la SEB desarrollo acciones de capacitación directa a 1,782 supervisores para el acompañamiento a los Consejos Técnicos Escolares. Estos a su vez, replicaron la capacitación con el 100 % de los supervisores del país en 31 entidades federativas, con excepción de Oaxaca.  Otros Motivos:</t>
    </r>
  </si>
  <si>
    <r>
      <t xml:space="preserve">Porcentaje total de escuelas beneficiadas anualmente por el Programa Escuelas de Calidad con recurso financiero y/o apoyo técnico-pedagógico.
</t>
    </r>
    <r>
      <rPr>
        <sz val="10"/>
        <rFont val="Soberana Sans"/>
        <family val="2"/>
      </rPr>
      <t xml:space="preserve"> Causa : Se cuenta con un avanece de 49,281 escuelas beneficiadas por el Programa Escuelas de Calidad con recurso financiero y/o apoyo técnico-pedagógico, lo cual representa un avance del 92.41 con respecto a la meta establecida  Es de señalar que dos entidades federativas no participaron en el programa sin embargo se estima alcanzar la meta establecida de 53,325 ya que el avance preliminar es muy favorable pues las entidades no han terminado de beneficiar escuelas debido a que el programa trabaja por ciclo escolar la cifra definitiva se conocerá una vez que concluya y se validen las cifras. Con respecto al ciclo escolar anterior se cuanta con un avance del 98.5 respecto de la meta reportada en el año anterior.   Efecto: El Programa impacta directamente a los alumnos mediante la mejora de su logro educativo.  Otros Motivos:</t>
    </r>
  </si>
  <si>
    <r>
      <t xml:space="preserve">Porcentaje anual de Entidades federativas que reciben en tiempo los recursos federales
</t>
    </r>
    <r>
      <rPr>
        <sz val="10"/>
        <rFont val="Soberana Sans"/>
        <family val="2"/>
      </rPr>
      <t xml:space="preserve"> Causa : De las 30 entidades federativas que participaron en la fase, las 30 recibieron el recurso de contrapartida en un plazo promedio no mayor a 18 días, la diferencia corresponde a que dos entidades federativas no participaron en el programa durante el ciclo escolar 2013-2014.  Efecto: Se impacta en la incorporación de escuelas las cuales implementan el modelo de gestión que permite beneficiar a más alumnos en la mejora de logro de sus aprendizajes.  Otros Motivos:</t>
    </r>
  </si>
  <si>
    <r>
      <t xml:space="preserve">Porcentaje de Equipos Técnicos Estatales que participan en al menos dos ocasiones en acciones de capacitación durante el ciclo escolar.
</t>
    </r>
    <r>
      <rPr>
        <sz val="10"/>
        <rFont val="Soberana Sans"/>
        <family val="2"/>
      </rPr>
      <t xml:space="preserve"> Causa : La meta se cumplió satisfactoriamente debido a que las 32 equipos Técnicos Estatales participaron en al menos dos ocasiones en acciones de capacitación durante el ciclo escolar, lo cual genera una constante respecto al año anterior.  Efecto: Esto permite impactar en la implementación del programa ya que mediante estas acciones de capacitación se establecen líneas de trabajo para que las escuelas se incorporen de manera rápida y constante.  Otros Motivos:</t>
    </r>
  </si>
  <si>
    <r>
      <t xml:space="preserve">Porcentaje anual de Coordinaciones Generales Estatales del PEC satisfechas con la asesoría y acompañamiento de la CNPEC
</t>
    </r>
    <r>
      <rPr>
        <sz val="10"/>
        <rFont val="Soberana Sans"/>
        <family val="2"/>
      </rPr>
      <t xml:space="preserve"> Causa : Derivado de la aplicación de la encuesta anual a las Coordinaciones Generales Estatales del PEC  se determinó que 27 coordinaciones se encuentran satisfechas con la asesoría y acompañamiento de la Coordinación Nacional del Programa, dos de ellas se encuentran insatisfechas, y tres entidades no participaron en la encuesta.  Efecto: Con respecto al resultado del año anterior se tuvo un retroceso con las entidades federativas ya que se había calificado satisfactoriamente en todas las entidades.  Los resultados impactan en la implementación del programa por parte de las entidades federativas, con las cuales se trabaja para que el programa llegue a las escuelas.   Otros Motivos:</t>
    </r>
  </si>
  <si>
    <r>
      <t xml:space="preserve">Porcentaje de Equipos Técnicos Estatales que participan en al menos dos ocasiones en acciones de asesoría y acompañamiento durante el ciclo escolar.
</t>
    </r>
    <r>
      <rPr>
        <sz val="10"/>
        <rFont val="Soberana Sans"/>
        <family val="2"/>
      </rPr>
      <t xml:space="preserve"> Causa : La meta se cumplió satisfactoriamente debido a que las 32 equipos Técnicos Estatales participaron en al menos dos ocasiones en acciones de asesoría y acompañamiento durante el ciclo escolar, lo cual genera una constante respecto al año anterior.  Efecto: Esto permite impactar en la implementación del programa ya que mediante estas reuniones se establecen líneas de trabajo para que las escuelas se incorporen de manera rápida y constante.  Otros Motivos:</t>
    </r>
  </si>
  <si>
    <r>
      <t xml:space="preserve">Porcentaje en la distribución de recursos federales de las entidades federativas a las escuelas PEC
</t>
    </r>
    <r>
      <rPr>
        <sz val="10"/>
        <rFont val="Soberana Sans"/>
        <family val="2"/>
      </rPr>
      <t xml:space="preserve"> Causa : Al momento 28 entidades han informado que han iniciado la dispersión, de las cuales 20 han entregado soporte documental preliminar. En las Reglas de Operación se considera como fecha límite para la realización de la dispersión inicial el 29 de marzo de 2014, y la de contrapartida el 31 de mayo de 2014.  Efecto: Debido a que se trabaja por ciclo escolar la cifra definitiva se conocerá una vez que concluya el ciclo escolar y se validen los datos reportados por las entidades federativas.  Otros Motivos:</t>
    </r>
  </si>
  <si>
    <t>S035</t>
  </si>
  <si>
    <t>Programa de Mejoramiento Institucional de las Escuelas Normales Públicas</t>
  </si>
  <si>
    <t>515-Dirección General de Educación Superior para Profesionales de la Educación</t>
  </si>
  <si>
    <t>Contribuir a elevar la calidad de la Educación Superior</t>
  </si>
  <si>
    <r>
      <t>Porcentaje de Escuelas Normales Públicas que mejoran de manera integral los servicios educativos (capacidades académicas de alumnos y docentes, realizan evaluaciones de programas educativos y mejoran su infraestructura).</t>
    </r>
    <r>
      <rPr>
        <i/>
        <sz val="10"/>
        <color indexed="30"/>
        <rFont val="Soberana Sans"/>
        <family val="3"/>
      </rPr>
      <t xml:space="preserve">
</t>
    </r>
  </si>
  <si>
    <t>(Total de Escuelas Normales Públicas que en sus Programas de Fortalecimiento Institucional (ProFEN) mejoran las capacidades academicas de alumnos y docentes, realizan evaluacion de sus programas educativos y mejoran su infraestructura /Total de Escuelas Normales Públicas)*100</t>
  </si>
  <si>
    <t>Las competencias académicas de los alumnos de las Escuelas Normales Públicas son mejoradas.</t>
  </si>
  <si>
    <r>
      <t xml:space="preserve">Porcentaje de alumnos que obtienen puntajes de satisfactorio o sobresaliente en el Examen General de Conocimientos de Escuelas Normales Públicas </t>
    </r>
    <r>
      <rPr>
        <i/>
        <sz val="10"/>
        <color indexed="30"/>
        <rFont val="Soberana Sans"/>
        <family val="3"/>
      </rPr>
      <t xml:space="preserve">
Indicador Seleccionado</t>
    </r>
  </si>
  <si>
    <t>(Número de alumnos/as  con puntaje satisfactorio o sobresaliente de las Escuelas Normales Públicas en el programa / El número de alumnos /as sustentantes en Escuelas Normales Públicas en el programa) * 100</t>
  </si>
  <si>
    <t>A Competencias académicas de docentes y directivos de escuelas normales públicas mejoradas</t>
  </si>
  <si>
    <r>
      <t>Porcentaje de docentes y directivos que obtienen un grado académico (profesionalización del docente)</t>
    </r>
    <r>
      <rPr>
        <i/>
        <sz val="10"/>
        <color indexed="30"/>
        <rFont val="Soberana Sans"/>
        <family val="3"/>
      </rPr>
      <t xml:space="preserve">
</t>
    </r>
  </si>
  <si>
    <t>(Número de docentes y directivos que obtienen grado académico año t / Número de docentes y directivos en el programa, año t) X 100</t>
  </si>
  <si>
    <t>B Competencias académicas o educativas de los alumnos, mejoradas.</t>
  </si>
  <si>
    <r>
      <t>Porcentaje de proyectos para realizar tutorías (acompañamiento en las prácticas profesionales) y asesorías (acompañamiento en el desarrollo del trabajo recepcional) a los alumnos de las Escuelas Normales Públicas.</t>
    </r>
    <r>
      <rPr>
        <i/>
        <sz val="10"/>
        <color indexed="30"/>
        <rFont val="Soberana Sans"/>
        <family val="3"/>
      </rPr>
      <t xml:space="preserve">
</t>
    </r>
  </si>
  <si>
    <t>(Número de proyectos para realizar tutorías y asesorías / Número total de proyectos presentados) *100</t>
  </si>
  <si>
    <t>C Equipamiento e Infraestructura de las Escuelas Normales Públicas mejoradas</t>
  </si>
  <si>
    <r>
      <t>Porcentaje de proyectos concluidos que mejoran la infraestructura y equipamiento.</t>
    </r>
    <r>
      <rPr>
        <i/>
        <sz val="10"/>
        <color indexed="30"/>
        <rFont val="Soberana Sans"/>
        <family val="3"/>
      </rPr>
      <t xml:space="preserve">
</t>
    </r>
  </si>
  <si>
    <t>(Número de proyectos concluidos que mejoran la infraestructura y equipamiento/Número de proyectos presentados)*100</t>
  </si>
  <si>
    <t>A 1 Generar un programa de habilitación profesional para alcanzar los estándares de educación superior</t>
  </si>
  <si>
    <r>
      <t>Porcentaje de Escuelas Normales Públicas que cuentan con un programa para mejorar el nivel académico del personal docente y directivo</t>
    </r>
    <r>
      <rPr>
        <i/>
        <sz val="10"/>
        <color indexed="30"/>
        <rFont val="Soberana Sans"/>
        <family val="3"/>
      </rPr>
      <t xml:space="preserve">
</t>
    </r>
  </si>
  <si>
    <t>(Número de Escuelas Normales Públicas que cuentan con un programa para mejorar el nivel académico del personal docente y directivo /Total de  Escuelas Normales Públicas apoyadas)*100</t>
  </si>
  <si>
    <t>B 2 Apoyo tutorial a los alumnos en sus prácticas profesionales</t>
  </si>
  <si>
    <r>
      <t>Porcentaje de asesorías realizadas sobre las programadas</t>
    </r>
    <r>
      <rPr>
        <i/>
        <sz val="10"/>
        <color indexed="30"/>
        <rFont val="Soberana Sans"/>
        <family val="3"/>
      </rPr>
      <t xml:space="preserve">
</t>
    </r>
  </si>
  <si>
    <t>(Número de asesorías realizadas/Número de asesorías programadas, año t)*100</t>
  </si>
  <si>
    <t>B 3 Alumnos que han recibido tutorías o asesorías en sus prácticas profesionales</t>
  </si>
  <si>
    <r>
      <t>Porcentaje de alumnos asesorados sobre los programados</t>
    </r>
    <r>
      <rPr>
        <i/>
        <sz val="10"/>
        <color indexed="30"/>
        <rFont val="Soberana Sans"/>
        <family val="3"/>
      </rPr>
      <t xml:space="preserve">
</t>
    </r>
  </si>
  <si>
    <t>(Número total de alumnos asesorados / Número total de alumnos programados)*100</t>
  </si>
  <si>
    <t>C 4 Escuela Normal Pública que ha realizado nuevas construcciones.</t>
  </si>
  <si>
    <r>
      <t>Porcentaje de Escuelas Normales Públicas que realizan nuevas construcciones</t>
    </r>
    <r>
      <rPr>
        <i/>
        <sz val="10"/>
        <color indexed="30"/>
        <rFont val="Soberana Sans"/>
        <family val="3"/>
      </rPr>
      <t xml:space="preserve">
</t>
    </r>
  </si>
  <si>
    <t>(Número de Escuelas Normales Públicas que ha realizado nuevas construcciones / Número de las Escuelas Normales Públicas apoyadas)*100</t>
  </si>
  <si>
    <t>C 5 Escuela Normal Pública que ha realizado un mantenimiento preventivo y correctivo de las instalaciones</t>
  </si>
  <si>
    <r>
      <t>Porcentaje de Escuelas Normales Públicas que realizan un mantenimiento preventivo y correctivo de las instalaciones</t>
    </r>
    <r>
      <rPr>
        <i/>
        <sz val="10"/>
        <color indexed="30"/>
        <rFont val="Soberana Sans"/>
        <family val="3"/>
      </rPr>
      <t xml:space="preserve">
</t>
    </r>
  </si>
  <si>
    <t>(Número de Escuelas Normales Públicas que realizan un mantenimiento preventivo y correctivo de las instalaciones / Número de Escuelas Normales Públicas apoyadas) *100</t>
  </si>
  <si>
    <t>C 6 Escuela Normal Pública que ha adquirido equipo</t>
  </si>
  <si>
    <r>
      <t>Porcentaje de Escuelas Normales Públicas que han adquirido equipo.</t>
    </r>
    <r>
      <rPr>
        <i/>
        <sz val="10"/>
        <color indexed="30"/>
        <rFont val="Soberana Sans"/>
        <family val="3"/>
      </rPr>
      <t xml:space="preserve">
</t>
    </r>
  </si>
  <si>
    <t>(Número de Escuelas Normales Públicas que han adquirido equipo / Número de las Escuelas Normales Públicas apoyadas)*100</t>
  </si>
  <si>
    <r>
      <t xml:space="preserve">Porcentaje de Escuelas Normales Públicas que mejoran de manera integral los servicios educativos (capacidades académicas de alumnos y docentes, realizan evaluaciones de programas educativos y mejoran su infraestructura).
</t>
    </r>
    <r>
      <rPr>
        <sz val="10"/>
        <rFont val="Soberana Sans"/>
        <family val="2"/>
      </rPr>
      <t xml:space="preserve"> Causa : Existe un mayor interés por parte de las Escuelas Normales Públicas por mejorar de manera integral los servicios educativos debido  a los beneficios que  cada una de las áreas  ha recibido por parte del programa. Efecto: Mejora integral de servicios educativos en las Escuelas Normales Públicas. Se mejoran las capacidades académicas de docentes a través de programas complementarios de habilitación, asimismo, la formación de los alumnos se ha reforzado con programas de tutorías. La mayoría de los programas educativos han sido sometidos a evaluaciones externas por parte de los CIEES y la mayoría de las Escuelas Normales han mejorado su infraestructura. Otros Motivos:</t>
    </r>
  </si>
  <si>
    <r>
      <t xml:space="preserve">Porcentaje de alumnos que obtienen puntajes de satisfactorio o sobresaliente en el Examen General de Conocimientos de Escuelas Normales Públicas 
</t>
    </r>
    <r>
      <rPr>
        <sz val="10"/>
        <rFont val="Soberana Sans"/>
        <family val="2"/>
      </rPr>
      <t xml:space="preserve"> Causa : La Secretaría de Educación Pública estableció en el programa presupuestario S035 para el ejercicio 2013, el indicador estratégico Porcentaje de alumnos que obtienen puntajes de satisfactorio o sobresaliente en el Examen General de Conocimientos de Escuelas Normales Públicas, como un indicador de eficacia. Al cierre del año, se informa que 20,768 alumnos/as lograron puntaje satisfactorio o sobresaliente de las Escuelas Normales Públicas en el programa, con lo que la meta de este indicador alcanzó un porcentaje de cumplimiento de 106.13%. Este comportamiento se explica principalmente por lo siguiente:   La Dirección General de Educación Superior para Profesionales de la Educación comenta que este indicador presenta un incremento sobre la meta propuesta, debido a que la matrícula es un indicador variable en función de la oferta y la demanda en cada Entidad Federativa, además, las Escuelas Normales llevan a cabo programas para mejorar sus resultados.    Efecto: Los beneficios económicos y sociales alcanzados con este indicador de propósito, contribuyeron a:  Registrar una mejora en un número significativo de alumnos que obtienen puntajes de satisfactorio o sobresaliente en los Exámenes Generales de Conocimientos, debido a que existen programas complementarios encaminados a identificar las áreas de mejora del perfil de egreso, además de promover el interés hacia una cultura de la evaluación.       Otros Motivos:</t>
    </r>
  </si>
  <si>
    <r>
      <t xml:space="preserve">Porcentaje de docentes y directivos que obtienen un grado académico (profesionalización del docente)
</t>
    </r>
    <r>
      <rPr>
        <sz val="10"/>
        <rFont val="Soberana Sans"/>
        <family val="2"/>
      </rPr>
      <t xml:space="preserve"> Causa : A partir del año 2009 las Escuelas Normales se incorporan al  Programa de Mejoramiento del Profesorado (PROMEP), programa enfocado a la habilitación docente, por lo que el porcentaje del indicador presenta un incremento de atención. Efecto: La profesionalización docente es atendida no solo por el PROMEP, programa estratégico creado para elevar permanentemente el nivel de habilitación de docentes y directivos sino que además, el PEFEN apoya la titulación de esta habilitación. Otros Motivos:</t>
    </r>
  </si>
  <si>
    <r>
      <t xml:space="preserve">Porcentaje de proyectos para realizar tutorías (acompañamiento en las prácticas profesionales) y asesorías (acompañamiento en el desarrollo del trabajo recepcional) a los alumnos de las Escuelas Normales Públicas.
</t>
    </r>
    <r>
      <rPr>
        <sz val="10"/>
        <rFont val="Soberana Sans"/>
        <family val="2"/>
      </rPr>
      <t xml:space="preserve"> Causa : Las Escuelas Normales Públicas han demostrado interés por desarrollar proyectos de tutoría con el objetivo de acompañar las prácticas profesionales, mejorar el perfil de egreso de los alumnos y fortalecer el desarrollo del documento recepcional. Efecto: Las Escuelas Normales Públicas fortalecen y actualizan sus programas de tutoría obteniendo como resultado mejoras en los índices de aprobación y titulación acordes con la calidad educativa que persigue cada plantel. Otros Motivos:</t>
    </r>
  </si>
  <si>
    <r>
      <t xml:space="preserve">Porcentaje de proyectos concluidos que mejoran la infraestructura y equipamiento.
</t>
    </r>
    <r>
      <rPr>
        <sz val="10"/>
        <rFont val="Soberana Sans"/>
        <family val="2"/>
      </rPr>
      <t xml:space="preserve"> Causa : Las Escuelas Normales Públicas han demostrado interés por desarrollar proyectos que mejoren la infraestructura y el equipamiento. Efecto: Contar con Escuelas Normales Públicas con mejores condiciones de infraestructura y equipamiento contribuye a mejorar la calidad educativa a nivel nacional. Otros Motivos:</t>
    </r>
  </si>
  <si>
    <r>
      <t xml:space="preserve">Porcentaje de Escuelas Normales Públicas que cuentan con un programa para mejorar el nivel académico del personal docente y directivo
</t>
    </r>
    <r>
      <rPr>
        <sz val="10"/>
        <rFont val="Soberana Sans"/>
        <family val="2"/>
      </rPr>
      <t xml:space="preserve"> Causa : Existe interés en las Escuelas Normales Públicas por desarrollar un programa para mejorar el nivel académico de los docentes y directivos a través de diplomados, conferencias, cursos y certificación en un segundo idioma. Efecto: Las Escuelas Normales Públicas han desarrollado programas para cerrar brechas en la formación y actualización docente, perfilando las condiciones para ingresar a otros programas de mejoramiento tales como PROMEP. Otros Motivos:</t>
    </r>
  </si>
  <si>
    <r>
      <t xml:space="preserve">Porcentaje de asesorías realizadas sobre las programadas
</t>
    </r>
    <r>
      <rPr>
        <sz val="10"/>
        <rFont val="Soberana Sans"/>
        <family val="2"/>
      </rPr>
      <t xml:space="preserve"> Causa : Las Escuelas Normales Públicas han demostrado interés por desarrollar proyectos de asesoría con el objetivo de acompañar a los alumnos en las prácticas profesionales, mejorar el perfil de egreso y fortalecer sus competencias. Efecto: Las Escuelas Normales Públicas cuentan con mayor número de alumnos asesorados debido a que han fortalecido y actualizado los programas de acompañamiento y asesoría. Otros Motivos:</t>
    </r>
  </si>
  <si>
    <r>
      <t xml:space="preserve">Porcentaje de alumnos asesorados sobre los programados
</t>
    </r>
    <r>
      <rPr>
        <sz val="10"/>
        <rFont val="Soberana Sans"/>
        <family val="2"/>
      </rPr>
      <t xml:space="preserve"> Causa : Las Escuelas Normales Públicas han demostrado interés por desarrollar proyectos de asesoría con el objetivo de acompañar a los alumnos en las prácticas profesionales, mejorar el perfil de egreso y fortalecer sus competencias. Efecto: Las Escuelas Normales Públicas cuentan con mayor número de alumnos asesorados debido a que han fortalecido y actualizado los programas de acompañamiento y asesoría. Otros Motivos:</t>
    </r>
  </si>
  <si>
    <r>
      <t xml:space="preserve">Porcentaje de Escuelas Normales Públicas que realizan nuevas construcciones
</t>
    </r>
    <r>
      <rPr>
        <sz val="10"/>
        <rFont val="Soberana Sans"/>
        <family val="2"/>
      </rPr>
      <t xml:space="preserve"> Causa : Las Escuelas Normales Públicas desarrollaron proyectos de cierre y conclusión para realizar  nuevas construcciones, razón por la cual el indicador presenta un decremento. Efecto: Contar con Escuelas Normales Públicas con mejores condiciones de infraestructura  contribuye a mejorar la calidad educativa a nivel nacional. Otros Motivos:</t>
    </r>
  </si>
  <si>
    <r>
      <t xml:space="preserve">Porcentaje de Escuelas Normales Públicas que realizan un mantenimiento preventivo y correctivo de las instalaciones
</t>
    </r>
    <r>
      <rPr>
        <sz val="10"/>
        <rFont val="Soberana Sans"/>
        <family val="2"/>
      </rPr>
      <t xml:space="preserve"> Causa : Las Escuelas Normales Públicas han demostrado interés por desarrollar proyectos de mantenimiento preventivo y correctivo de las instalaciones. Efecto: Contar con Escuelas Normales Públicas con mejores condiciones de infraestructura contribuye a mejorar la calidad educativa a nivel nacional. Otros Motivos:</t>
    </r>
  </si>
  <si>
    <r>
      <t xml:space="preserve">Porcentaje de Escuelas Normales Públicas que han adquirido equipo.
</t>
    </r>
    <r>
      <rPr>
        <sz val="10"/>
        <rFont val="Soberana Sans"/>
        <family val="2"/>
      </rPr>
      <t xml:space="preserve"> Causa : Las Escuelas Normales Públicas han demostrado interés por desarrollar proyectos de mantenimiento preventivo y correctivo de las instalaciones. Efecto: Contar con Escuelas Normales Públicas con mejores condiciones de infraestructura contribuye a mejorar la calidad educativa a nivel nacional. Otros Motivos:</t>
    </r>
  </si>
  <si>
    <t>S108</t>
  </si>
  <si>
    <t>Programa Becas de apoyo a la Educación Básica de Madres Jóvenes y Jóvenes Embarazadas</t>
  </si>
  <si>
    <t>313-Dirección General de Educación Indígena</t>
  </si>
  <si>
    <t>Contribuir a la reducción del rezago educativo mediante el otorgamiento de becas a niñas y jóvenes en situación de vulnerabilidad, agravada por el embarazo y la maternidad.</t>
  </si>
  <si>
    <r>
      <t xml:space="preserve">Porcentaje de niñas y jóvenes madres y/o embarazadas en situación de vulnerabilidad incorporadas al Programa  concluyen su educación básica. </t>
    </r>
    <r>
      <rPr>
        <i/>
        <sz val="10"/>
        <color indexed="30"/>
        <rFont val="Soberana Sans"/>
        <family val="3"/>
      </rPr>
      <t xml:space="preserve">
</t>
    </r>
  </si>
  <si>
    <t>(Número de beneficiarias registradas en el padrón que concluyen su educación básica al final del año fiscal /Número de beneficiarias registradas en el padrón que deberían concluir su educación básica al final del año fiscal  )*100</t>
  </si>
  <si>
    <t>Alumna graduada</t>
  </si>
  <si>
    <t>Madres jóvenes y jóvenes embarazadas entre 12 y 18 años 11 meses de edad en situación de vulnerabilidad permanecen en el Programa de manera activa, incluyendo a las que terminan la educación básica.</t>
  </si>
  <si>
    <r>
      <t>Porcentaje de madres jóvenes y jóvenes embarazadas entre 12 y 18 años 11 meses que permanecen en el Programa durante el periodo a evaluar.</t>
    </r>
    <r>
      <rPr>
        <i/>
        <sz val="10"/>
        <color indexed="30"/>
        <rFont val="Soberana Sans"/>
        <family val="3"/>
      </rPr>
      <t xml:space="preserve">
Indicador Seleccionado</t>
    </r>
  </si>
  <si>
    <t>(Número de beneficiarias que permanecen en el Programa al final del año fiscal t/ Total de beneficiarias incorporadas durante el año fiscal t - beneficiarias que concluyen su educación básica durante el año fiscal t)*100</t>
  </si>
  <si>
    <t>Beneficiaria atendida</t>
  </si>
  <si>
    <t>Estratégico-Eficiencia-Anual</t>
  </si>
  <si>
    <t>A Madres jóvenes y jóvenes embarazadas entre los 12 y 18 años 11 meses de edad, capacitadas mediante un taller sobre prevención del embarazo no planificado en adolescentes, impartido por alguna institución de salud pública.</t>
  </si>
  <si>
    <r>
      <t>Madres jóvenes y jóvenes embarazadas entre los 12 y 18 años 11 meses de edad, capacitadas con un taller sobre prevención del embarazo no planificado en adolescentes recibido por alguna institución de salud pública.</t>
    </r>
    <r>
      <rPr>
        <i/>
        <sz val="10"/>
        <color indexed="30"/>
        <rFont val="Soberana Sans"/>
        <family val="3"/>
      </rPr>
      <t xml:space="preserve">
</t>
    </r>
  </si>
  <si>
    <t>Número de madres jóvenes y jóvenes embarazadas entre los 12 y 18 años 11 meses de edad, capacitadas con un taller sobre prevención del embarazo no planificado en adolescentes.</t>
  </si>
  <si>
    <t>Becaria apoyada</t>
  </si>
  <si>
    <t>B Becas de apoyo a la educación básica otorgadas a madres jóvenes y jóvenes embarazadas entre los 12 y 18 años 11 meses de edad.</t>
  </si>
  <si>
    <r>
      <t>Becas de apoyo a la educación básica otorgadas a madres jóvenes y jóvenes embarazadas entre los 12 y 18 años 11 meses de edad.</t>
    </r>
    <r>
      <rPr>
        <i/>
        <sz val="10"/>
        <color indexed="30"/>
        <rFont val="Soberana Sans"/>
        <family val="3"/>
      </rPr>
      <t xml:space="preserve">
</t>
    </r>
  </si>
  <si>
    <t>Número de becas de apoyo a la educación básica otorgadas a madres jóvenes y jóvenes embarazadas entre 12 y 18 años 11 meses de edad.</t>
  </si>
  <si>
    <t>Beca otorgada</t>
  </si>
  <si>
    <t>A 1 Estrategia Integral para la prevención del embarazo adolescente no planificado, implementada en las entidades federativas.</t>
  </si>
  <si>
    <r>
      <t>Implementación  de la Estrategia Integral para la prevención del embarazo no planificado en adolescentes en las entidades federativas.</t>
    </r>
    <r>
      <rPr>
        <i/>
        <sz val="10"/>
        <color indexed="30"/>
        <rFont val="Soberana Sans"/>
        <family val="3"/>
      </rPr>
      <t xml:space="preserve">
</t>
    </r>
  </si>
  <si>
    <t>Número de entidades federativas que implementan la Estrategia Integral para la prevención del embarazo no planificado en adolescentes.</t>
  </si>
  <si>
    <t xml:space="preserve">Estrategia Implementada  </t>
  </si>
  <si>
    <t>B 2 Transferencia de recursos a las entidades federativas participantes.</t>
  </si>
  <si>
    <r>
      <t>Porcentaje de entidades con recursos transferidos en su totalidad.</t>
    </r>
    <r>
      <rPr>
        <i/>
        <sz val="10"/>
        <color indexed="30"/>
        <rFont val="Soberana Sans"/>
        <family val="3"/>
      </rPr>
      <t xml:space="preserve">
</t>
    </r>
  </si>
  <si>
    <t>(Número de entidades con transferencia completa de recursos/ total de entidades federativas con recursos programados)*100</t>
  </si>
  <si>
    <t>Entidades Federativas con Recursos Transferidos</t>
  </si>
  <si>
    <r>
      <t xml:space="preserve">Porcentaje de niñas y jóvenes madres y/o embarazadas en situación de vulnerabilidad incorporadas al Programa  concluyen su educación básica. 
</t>
    </r>
    <r>
      <rPr>
        <sz val="10"/>
        <rFont val="Soberana Sans"/>
        <family val="2"/>
      </rPr>
      <t xml:space="preserve"> Causa : Se ha fortalecido la coordinación entre las Autoridades Educativas Locales (AEL) y los Institutos Estatales de Educación para Adultos, así como con el Instituto Nacional para la Educación de los Adultos (INEA), lo que ha contribuido a que un mayor número de becarias concluyan la educación básica. Lo anterior, bajo la consideración de que un 80% de las becarias cursan la educación básica en el Sistema Educativo no escolarizado. Efecto: Se incrementó el número de becarias que concluyeron la educación básica 88.5%, con respecto a lo programado. Lo que indica que 22% de las becarias están en posibilidad de continuar con sus estudios a nivel medio superior y con ello disminuir la desigualdad entre hombres y mujeres en este rango de edad. Otros Motivos:</t>
    </r>
  </si>
  <si>
    <r>
      <t xml:space="preserve">Porcentaje de madres jóvenes y jóvenes embarazadas entre 12 y 18 años 11 meses que permanecen en el Programa durante el periodo a evaluar.
</t>
    </r>
    <r>
      <rPr>
        <sz val="10"/>
        <rFont val="Soberana Sans"/>
        <family val="2"/>
      </rPr>
      <t xml:space="preserve"> Causa : La Secretaría de Educación Pública estableció en el programa presupuestario S108 para el ejercicio 2013, el indicador estratégico Porcentaje de madres jóvenes y jóvenes embarazadas entre 12 y 18 años 11 meses que permanecen en el Programa durante el periodo a evaluar, como un indicador de eficiencia. Al cierre del año, el Porcentaje de este grupo de la población que permanecen en el Programa fue superior a la meta al alcanzar 108.62%, con lo cual este indicador alcanzó un porcentaje de cumplimiento de 120.69%. Este comportamiento se explica principalmente por lo siguiente:    . La Dirección General de Educación Indígena informa que el impulso que las Autoridades Educativas Locales han dado a la coordinación con instituciones públicas, privadas y sociales, ha incrementado la generación de redes de apoyo, tanto familiares como de asistencia social, que favorecen la permanencia de las becarias en los servicios educativos y por ende en el Programa.     Efecto: Los beneficios económicos y sociales alcanzados con este indicador de propósito, contribuyeron a: Aumentar la posibilidad de que la madres jóvenes y jóvenes embarazadas entre 12 y 18 años 11 meses de edad en situación de vulnerabilidad concluyan la educación básica; en 2013 se observó un Incremento de 20% con relación a lo programado en lo referente a permanencia en el Sistema Educativo Nacional (SEN), entre este grupo de la población.    Otros Motivos:</t>
    </r>
  </si>
  <si>
    <r>
      <t xml:space="preserve">Madres jóvenes y jóvenes embarazadas entre los 12 y 18 años 11 meses de edad, capacitadas con un taller sobre prevención del embarazo no planificado en adolescentes recibido por alguna institución de salud pública.
</t>
    </r>
    <r>
      <rPr>
        <sz val="10"/>
        <rFont val="Soberana Sans"/>
        <family val="2"/>
      </rPr>
      <t xml:space="preserve"> Causa : Pese a la tardía ministración del recurso del subsidio para becas y los gastos de operación fue posible realizar talleres sobre prevención del embarazo, con apoyo de instituciones del Sector Salud, DIF, INMUJERES, Institutos de las Mujeres en las entidades federativas así como de los Centros de Integración Juvenil. Efecto: Se logró superar 31% la meta de atención programada. Otros Motivos:</t>
    </r>
  </si>
  <si>
    <r>
      <t xml:space="preserve">Becas de apoyo a la educación básica otorgadas a madres jóvenes y jóvenes embarazadas entre los 12 y 18 años 11 meses de edad.
</t>
    </r>
    <r>
      <rPr>
        <sz val="10"/>
        <rFont val="Soberana Sans"/>
        <family val="2"/>
      </rPr>
      <t xml:space="preserve"> Causa : Pese a la tardía dispersión y entrega de apoyos a las becarias, éstas continuaron con estudios de alfabetización, primaria y secundaria, tanto en modalidad escolarizada como en no escolarizada. Efecto: La meta programada de incorporación de becarias al Promajoven se incrementó 8.0 %. Sin embargo, de las 17,094 becarias incorporadas al Programa sólo 15,770 recibieron apoyos monetarios; lo anterior, porque 1,324 becarias incumplieron con las obligaciones estipuladas en la carta compromiso que formalizaron ante las Coordinaciones Estatales del Programa. Otros Motivos:</t>
    </r>
  </si>
  <si>
    <r>
      <t xml:space="preserve">Implementación  de la Estrategia Integral para la prevención del embarazo no planificado en adolescentes en las entidades federativas.
</t>
    </r>
    <r>
      <rPr>
        <sz val="10"/>
        <rFont val="Soberana Sans"/>
        <family val="2"/>
      </rPr>
      <t xml:space="preserve"> Causa : La Dirección General de Educación Indígena (DGEI) ha promovido la generación de redes de apoyo institucional que favorecen el desarrollo integral de las becarias, incluyendo la Prevención del embarazo no planificado en adolescentes, en las entidades federativas. Efecto: Madres jóvenes y jóvenes embarazadas conocen sus derechos sexuales y reproductivos, gozan del ejercicio pleno de una sexualidad responsable, gracias a las gestiones y coordinación interinstitucional realizadas por las Autoridades Educativas Locales de Chiapas, Hidalgo, Guerrero, Veracruz, Distrito Federal, Puebla, Sonora y Estado de México.  Otros Motivos:</t>
    </r>
  </si>
  <si>
    <r>
      <t xml:space="preserve">Porcentaje de entidades con recursos transferidos en su totalidad.
</t>
    </r>
    <r>
      <rPr>
        <sz val="10"/>
        <rFont val="Soberana Sans"/>
        <family val="2"/>
      </rPr>
      <t xml:space="preserve"> Causa : Al cierre del tercer trimestre se concluyó con la transferencia del presupuesto asignado a cada una de las 32 entidades federativas para cubrir apoyos del programa. Efecto: Las entidades federativas iniciaron la dispersión de los apoyos en el segundo semestre del año fiscal, lo que redujo el tiempo para el ejercicio del recurso; lo anterior afectó al ejercicio del gasto. Otros Motivos:</t>
    </r>
  </si>
  <si>
    <t>S119</t>
  </si>
  <si>
    <t>Programa Asesor Técnico Pedagógico y para la Atención Educativa a la diversidad social, lingüística y cultural</t>
  </si>
  <si>
    <t>Contribuir a mejorar el nivel de logro educativo de las niñas y niños que asisten a escuelas de educación primaria indígena mediante la atención educativa a la diversidad con pertinencia lingüística y cultural.</t>
  </si>
  <si>
    <r>
      <t>Porcentaje de escuelas primarias indígenas que mejoran su puntaje global en la prueba ENLACE.</t>
    </r>
    <r>
      <rPr>
        <i/>
        <sz val="10"/>
        <color indexed="30"/>
        <rFont val="Soberana Sans"/>
        <family val="3"/>
      </rPr>
      <t xml:space="preserve">
Indicador Seleccionado</t>
    </r>
  </si>
  <si>
    <t>(Número de escuelas de educación primaria indígena que mejoraron su puntaje global en la prueba ENLACE / total de escuelas de educación primaria indígena que aplicaron la prueba ENLACE) * 100.</t>
  </si>
  <si>
    <t>Escuela evaluada</t>
  </si>
  <si>
    <t>La atención educativa de las niñas y los niños que asisten a escuelas de educación indígena se mejora con pertinencia lingüística y cultural.</t>
  </si>
  <si>
    <r>
      <t>Índice de mejora de la Atención Educativa de las niñas y niños con pertinencia lingüística y cultural.</t>
    </r>
    <r>
      <rPr>
        <i/>
        <sz val="10"/>
        <color indexed="30"/>
        <rFont val="Soberana Sans"/>
        <family val="3"/>
      </rPr>
      <t xml:space="preserve">
</t>
    </r>
  </si>
  <si>
    <t>IME= [(IPC (0.20) + IP (0.30) + IA (0.50) ) ]</t>
  </si>
  <si>
    <t>Actividad realizada</t>
  </si>
  <si>
    <t>A Asesorías realizadas por los AAD (Asesores Académicos de la Diversidad social, lingüística y cultural) a docentes de Educación Indígena frente a grupo.</t>
  </si>
  <si>
    <r>
      <t>Porcentaje de asesorías realizadas por los AAD del Programa, a docentes de Educación Indígena.</t>
    </r>
    <r>
      <rPr>
        <i/>
        <sz val="10"/>
        <color indexed="30"/>
        <rFont val="Soberana Sans"/>
        <family val="3"/>
      </rPr>
      <t xml:space="preserve">
</t>
    </r>
  </si>
  <si>
    <t>(Total de asesorías realizadas por los AAD / total de asesorías programadas en las reglas de operación) * 100</t>
  </si>
  <si>
    <t>Asesoría realizada</t>
  </si>
  <si>
    <t>A 1 Docentes de Educación Primaria Indígena asesorados por el Programa Asesor Técnico Pedagógico y para la Atención Educativa a la Diversidad Social, Lingüística y Cultural.</t>
  </si>
  <si>
    <r>
      <t>Porcentaje de docentes de Educación Primaria Indígena asesorados por el Programa.</t>
    </r>
    <r>
      <rPr>
        <i/>
        <sz val="10"/>
        <color indexed="30"/>
        <rFont val="Soberana Sans"/>
        <family val="3"/>
      </rPr>
      <t xml:space="preserve">
</t>
    </r>
  </si>
  <si>
    <t>(Número de docentes de educación primaria indígena asesorados por el PAED/ Total de Docentes de educación primaria indígena del ciclo escolar) * 100</t>
  </si>
  <si>
    <t>Docente asesorado.</t>
  </si>
  <si>
    <t>Gestión-Eficiencia-Mensual</t>
  </si>
  <si>
    <t>A 2 Visitas de asesoría a escuelas de Educación Primaria Indígena por el Programa Asesor Técnico Pedagógico y para la Atención Educativa a la Diversidad Social, Lingüística y Cultural.</t>
  </si>
  <si>
    <r>
      <t>Porcentaje de escuelas de educación primaria indígena que recibieron visitas de asesoría por el PAED.</t>
    </r>
    <r>
      <rPr>
        <i/>
        <sz val="10"/>
        <color indexed="30"/>
        <rFont val="Soberana Sans"/>
        <family val="3"/>
      </rPr>
      <t xml:space="preserve">
</t>
    </r>
  </si>
  <si>
    <t>(Número de escuelas de educación primaria indígena que recibieron visitas de asesoría / Total de escuelas de educación primaria indígena del ciclo escolar)*100</t>
  </si>
  <si>
    <t>Escuela Primaria Asesorada.</t>
  </si>
  <si>
    <t>Gestión-Eficacia-Mensual</t>
  </si>
  <si>
    <t>A 3 Docentes de Educación Preescolar Indígena asesorados por el Programa Asesor Técnico Pedagógico y para la Atención Educativa a la Diversidad Social, Lingüística y Cultural.</t>
  </si>
  <si>
    <r>
      <t>Porcentaje de docentes de Educación Preescolar Indígena asesorados por el Programa.</t>
    </r>
    <r>
      <rPr>
        <i/>
        <sz val="10"/>
        <color indexed="30"/>
        <rFont val="Soberana Sans"/>
        <family val="3"/>
      </rPr>
      <t xml:space="preserve">
</t>
    </r>
  </si>
  <si>
    <t>(Número de docentes de Educación Preescolar Indígena asesorados por el PAED/ Total de Docentes de Educación Preescolar Indígena del ciclo escolar) * 100.</t>
  </si>
  <si>
    <t>A 4 Incorporación de Asesores Académicos de la Diversidad Social, Linguística y Cultural en procesos de capacitación.</t>
  </si>
  <si>
    <r>
      <t>Porcentaje de Asesores Académicos de la Diversidad Social, Lingüística y Cultural capacitados.</t>
    </r>
    <r>
      <rPr>
        <i/>
        <sz val="10"/>
        <color indexed="30"/>
        <rFont val="Soberana Sans"/>
        <family val="3"/>
      </rPr>
      <t xml:space="preserve">
</t>
    </r>
  </si>
  <si>
    <t>(Total de AAD capacitados / Total de AAD autorizados en las Reglas de Operación del PAED) * 100.</t>
  </si>
  <si>
    <t>Asesor capacitado</t>
  </si>
  <si>
    <t>A 5 Visitas de asesoría a escuelas de Educación Preescolar Indígena por el Programa Asesor Técnico Pedagógico y para la Atención Educativa a la Diversidad Social, Lingüística y Cultural.</t>
  </si>
  <si>
    <r>
      <t>Porcentaje de escuelas de Educación Preescolar  Indígena que recibieron visitas de asesoría por el PAED.</t>
    </r>
    <r>
      <rPr>
        <i/>
        <sz val="10"/>
        <color indexed="30"/>
        <rFont val="Soberana Sans"/>
        <family val="3"/>
      </rPr>
      <t xml:space="preserve">
</t>
    </r>
  </si>
  <si>
    <t>(Número de escuelas de Educación Preescolar Indígena que recibieron visitas de asesoría / Total de escuelas de Educación Preescolar Indígena del ciclo escolar) *100.</t>
  </si>
  <si>
    <t>Escuela atendida</t>
  </si>
  <si>
    <r>
      <t xml:space="preserve">Porcentaje de escuelas primarias indígenas que mejoran su puntaje global en la prueba ENLACE.
</t>
    </r>
    <r>
      <rPr>
        <sz val="10"/>
        <rFont val="Soberana Sans"/>
        <family val="2"/>
      </rPr>
      <t xml:space="preserve"> Causa : La Secretaría de Educación Pública estableció en el programa presupuestario S119 para el ejercicio 2013, el indicador estratégico Porcentaje de escuelas primarias indígenas que mejoraron su puntaje global en la prueba ENLACE, como un indicador de eficacia. Al cierre del año 3,063 escuelas de educación primaria indígena mejoraron su puntaje global en la prueba ENLACE, con lo que la meta de este indicador registra un porcentaje de cumplimiento de 70.14%. Este comportamiento se explica principalmente por lo siguiente:    .  La Dirección General de Educación Indígena informa para este programa presupuestario en su indicador de Fin para el año 2013 propuso una meta del 43% (4,367 escuelas) sobre un universo de 10,155 escuelas; sin embargo, debido a diversas situaciones en algunas de las 24 entidades federativas que cuentan con el servicio de educación indígena no se llevó a cabo la prueba ENLACE en la totalidad de escuelas que se plantearon como universo, por tal motivo, se recurrió a los resultados comparables de la prueba ENLACE entre 2012 y 2013 en las escuelas de educación indígena, en la página: http://enlace.sep.gob.mx/content/ba/docs/2013/otros_criterios_de_consulta/listado_esc.html, obteniendo que 5,812 escuelas aplicaron la prueba enlace, de las cuales 3,063 indican una mejora en sus puntajes respecto al 2012, lo que se traduce en una mejora del 52.70%.     . En virtud de que el Programa propuso el nivel Fin como indicador PEF no es posible que haya afectaciones programáticas en sus metas durante el año, por lo tanto, calculado desde el universo de 10,155 escuelas, el resultado al final del 2013 arroja un 30.16% de escuelas que mejoraron su puntaje; no obstante, de acuerdo a la cantidad de escuelas que aplicaron dicha prueba, el porcentaje real de mejora equivale al 52.70%.   Efecto: Los beneficios económicos y sociales alcanzados con este indicador de fin, contribuyeron a: Una mejora en la atención educativa que se brinda a alumnos y alumnas en las escuelas de educación indígena, e influye directamente en la posibilidad de concluir los estudios de educación básica, reduciendo los niveles de deserción escolar, analfabetismo, y rezago educativo en las comunidades indígenas que por lo general presentan altos índices de marginación.       El resultado real del avance es 52.70% de acuerdo a la cantidad real de escuelas que aplicaron la prueba ENALCE.   Otros Motivos:</t>
    </r>
  </si>
  <si>
    <r>
      <t xml:space="preserve">Índice de mejora de la Atención Educativa de las niñas y niños con pertinencia lingüística y cultural.
</t>
    </r>
    <r>
      <rPr>
        <sz val="10"/>
        <rFont val="Soberana Sans"/>
        <family val="2"/>
      </rPr>
      <t xml:space="preserve"> Causa : Los tres componentes que conforman el IME Índice de asesorías (50%) Índice de profesionalización (30%), e índice de propuestas curriculares (20%) se cumplieron durante el 2013, debido a las acciones implementadas por la DGEI en el ejercicio fiscal. El índice de mejora de la atención educativa con pertinencia lingüística y cultural (IME) de las niñas y niños alcanzó la meta programada, se obtuvo el 100% del 88% que se había establecido como meta en la matriz de indicadores. Efecto: El índice de la mejora de la atención educativa con pertinencia lingüística y cultural, pretende mediante la profesionalización docente, las propuestas curriculares y el índice de asesorías, que la atención a niñas y niños en escuelas de educación indígena mejore e incida directamente en los resultados. En este sentido el PAED mediante la profesionalización docente incide en la mejora de la atención educativa a los alumnos y alumnas que asisten a escuelas de educación indígena, con el objetivo de crear condiciones para el acceso a la educación secundaria, disminuir el rezago educativo y el analfabetismo en las comunidades indígenas que se encuentran en los municipios con menor índice de desarrollo humano y altos grados de marginación. Otros Motivos:</t>
    </r>
  </si>
  <si>
    <r>
      <t xml:space="preserve">Porcentaje de asesorías realizadas por los AAD del Programa, a docentes de Educación Indígena.
</t>
    </r>
    <r>
      <rPr>
        <sz val="10"/>
        <rFont val="Soberana Sans"/>
        <family val="2"/>
      </rPr>
      <t xml:space="preserve"> Causa : De 2012 a 2013 hubo un incremento en la cantidad de Asesores Académicos de la Diversidad. Asimismo los AAD impulsan el trabajo colaborativo durante las jornadas de asesoría a los docentes frente a grupo en los niveles de preescolar y primaria. La cantidad de asesorías para el 2013 se reporta por encima de lo programado. Efecto: Las asesorías a  docentes en  aula contribuyen a reforzar la capacitación de profesores, promoviendo su vinculación directa con las prioridades, objetivos y herramientas educativas en todos los niveles, son también un mecanismo para mejorar los niveles de eficiencia y resultados persiguiendo una educación de calidad para el desempeño en el mundo productivo. Las asesorías como forma de capacitación y actualización constante propician un mejor desempeño en los docentes de educación indígena, de esta forma se incide directamente en el aprovechamiento escolar de alumnas y alumnos que asisten a escuelas de educación indígena ubicadas por lo general en municipios de bajo índice de desarrollo humano y altos niveles de marginación, disminuyendo el rezago educativo e incrementando las posibilidades de que dichos alumnos puedan concluir la educación básica. Otros Motivos:</t>
    </r>
  </si>
  <si>
    <r>
      <t xml:space="preserve">Porcentaje de docentes de Educación Primaria Indígena asesorados por el Programa.
</t>
    </r>
    <r>
      <rPr>
        <sz val="10"/>
        <rFont val="Soberana Sans"/>
        <family val="2"/>
      </rPr>
      <t xml:space="preserve"> Causa : Los Asesores Académicos de la Diversidad fomentan el trabajo colaborativo entre los docentes de educación indígena así como también detectan y brindan asesoría individual a los docentes que así lo requieran, en este sentido se ha generado mayor focalización del programa en ciertos docentes. La cantidad de docentes asesorados se reporta ligeramente por debajo de lo programado. Efecto: La cantidad de docentes asesorados por el PAED se reporta por debajo de la meta programada, debido en parte a que los AAD durante 2013 priorizan las asesorías en trabajo colaborativo lo que permite brindar más temas de asesorías a docentes, este resultado se relaciona con el nivel de componente de la MIR ya que aunque se aumenta la cantidad de asesorías no se aumenta necesariamente el número de docentes asesorados, siendo así, un mismo docente puede recibir varias asesorías al año. La asesoría a docentes de educación indígena impacta directamente en la disminución del rezago educativo así como de la deserción escolar en las principales zonas y comunidades indígenas que por lo general se relacionan con lugares de alta marginación. Así mismo la mejora en la atención educativa genera la disminución de la brecha que aún existe ante otros sistemas educativos. Otros Motivos:</t>
    </r>
  </si>
  <si>
    <r>
      <t xml:space="preserve">Porcentaje de escuelas de educación primaria indígena que recibieron visitas de asesoría por el PAED.
</t>
    </r>
    <r>
      <rPr>
        <sz val="10"/>
        <rFont val="Soberana Sans"/>
        <family val="2"/>
      </rPr>
      <t xml:space="preserve"> Causa : Para el 2013 se aumentó el número de Asesores Académicos de la Diversidad lo que incide directamente en las visitas a las escuelas. La cantidad de escuelas primarias que reciben visitas por el PAED se reporta ligeramente por encima de lo programado. Efecto: En las visitas a las escuelas los AAD promueven la asesoría a la totalidad de docentes que en ellas labora fomentando el trabajo colaborativo además de atender las necesidades particulares de cada docente. La atención que se da a escuelas de educación indígena pretende cerrar brechas de desigualdad entre otros servicios educativos, propicia también que los alumnos que asisten a estas escuelas accedan a mejores niveles de bienestar, reduzcan desigualdad y brinden beneficios a las familias en las comunidades indígenas que en su gran mayoría se encuentran en zonas de alta marginación, a través de la disminución tanto del rezago educativo como de la deserción escolar. Otros Motivos:</t>
    </r>
  </si>
  <si>
    <r>
      <t xml:space="preserve">Porcentaje de docentes de Educación Preescolar Indígena asesorados por el Programa.
</t>
    </r>
    <r>
      <rPr>
        <sz val="10"/>
        <rFont val="Soberana Sans"/>
        <family val="2"/>
      </rPr>
      <t xml:space="preserve"> Causa : Para 2013 se incrementó significativamente la cantidad de Asesores Académicos de la Diversidad del nivel de preescolar quienes fomentan el trabajo colaborativo entre los docentes de educación indígena así como también detectan y brindan asesoría individual a los docentes que así lo requieran. La cantidad de docentes asesorados se reporta por encima de lo programado cumpliendo satisfactoriamente la meta. Efecto: Es importante señalar que la cantidad de AAD del nivel de preescolar es menor que la de primaria, es por eso que las metas en las actividades 3 y 4 son menores a comparación de las de primaria, también debe señalarse que los indicadores de preescolar son de reciente incorporación a la MIR del PAED. La asesoría a docentes de educación preescolar indígena impacta directamente en el ingreso posterior a la educación primaria, la disminución del rezago educativo así como de la deserción escolar en las principales zonas y comunidades indígenas que por lo general se relacionan con lugares de alta marginación. Así mismo la mejora en la atención educativa genera la disminución de la brecha que aún existe ante otros sistemas educativos, además de lo anterior a través de la constante asesoría a docentes pretende disminuir la acentuación de las desigualdades sociales que existen en la actualidad, en los niveles de preescolar se gesta el inicio de la vida escolar de los niños y niñas, en este particular una correcta atención a estos incide directamente en el ingreso a la educación primaria. Otros Motivos:</t>
    </r>
  </si>
  <si>
    <r>
      <t xml:space="preserve">Porcentaje de Asesores Académicos de la Diversidad Social, Lingüística y Cultural capacitados.
</t>
    </r>
    <r>
      <rPr>
        <sz val="10"/>
        <rFont val="Soberana Sans"/>
        <family val="2"/>
      </rPr>
      <t xml:space="preserve"> Causa : Durante el 2013 tanto la DGEI como las autoridades educativas locales incorporan a los AAD  a procesos de capacitación y formación con el propósito de que los AAD adquieran las herramientas necesarias para continuar con su labor asesora en las escuelas de educación indígena que atienden. La meta en la cantidad de Asesores Académicos de la Diversidad que se involucraron en procesos de formación y/o capacitación se reporta ligeramente por encima de lo programado. Efecto: La constante formación y capacitación que reciben los AAD de primaria y preescolar es proporcionada tanto por la DGEI como por las Autoridades Educativas Locales en cada una de sus entidades, los AAD impactan directamente en los docentes que atienden en los centros escolares de educación indígena. La constante formación a docentes de educación indígena que fungen como asesores propicia una profesionalización que les permite acceder a mejores niveles de ingreso y mejore sus condiciones laborales, por otra parte la constante capacitación de docentes de educación indígena pretende reducir las tasas de deserción y bajo aprovechamiento que existen en las comunidades indígenas, mediante una atención educativa que permita ingresar a los niños y niñas a mejores condiciones de vida. Otros Motivos:</t>
    </r>
  </si>
  <si>
    <r>
      <t xml:space="preserve">Porcentaje de escuelas de Educación Preescolar  Indígena que recibieron visitas de asesoría por el PAED.
</t>
    </r>
    <r>
      <rPr>
        <sz val="10"/>
        <rFont val="Soberana Sans"/>
        <family val="2"/>
      </rPr>
      <t xml:space="preserve"> Causa : Para 2012 se incrementó significativamente la cantidad de Asesores Académicos de la Diversidad del nivel de preescolar los cuales realizan visitas a las escuelas para proporcionar asesoría a docentes de dicho nivel. La cantidad de escuelas de preescolar indígena que recibieron visitas de asesoría durante 2013 se reporta por encima de lo programado. Efecto: Es importante señalar que la cantidad de AAD del nivel de preescolar es menor en comparación con los del nivel de primaria, es por ello que las metas de los indicadores de preescolar son menores a las de primaria. También se debe señalar que los indicadores del nivel de preescolar son de reciente incorporación a la MIR del PAED. La atención que se da a escuelas de educación preescolar indígena pretende cerrar brechas de desigualdad entre otros servicios educativos,  propicia también que los alumnos que asisten a estas escuelas cuenten con una formación inicial que los lleve a comenzar los estudios del nivel de primaria con bases sólidas que propicien su estancia en la escuela disminuyendo los niveles de deserción y reduciendo la desigualdad de oportunidades que aún existe frente a otros sistemas educativos. Otros Motivos:</t>
    </r>
  </si>
  <si>
    <t>S127</t>
  </si>
  <si>
    <t>Programa del Sistema Nacional de Formación Continua y Superación Profesional de Maestros de Educación Básica en Servicio</t>
  </si>
  <si>
    <t>314-Dirección General de Formación Continua de Maestros en Servicio</t>
  </si>
  <si>
    <t>10 - Diseño y aplicación de la política educativa</t>
  </si>
  <si>
    <t>Normar y promover la calidad, pertinencia y relevancia de la oferta nacional y estatal de la formación continua y superación profesional destinada al fortalecimiento de las competencias profesionales de las Figuras Educativas de nivel Básico en Servicio para el mejor desarrollo de sus funciones y la mejora de los aprendizajes de los alumnos.</t>
  </si>
  <si>
    <r>
      <t>Tasa de variación de programas académicos de calidad, pertinencia y relevancia académica integrados al Catálogo Nacional de Formación Continua y Superación Profesional para Maestros en Servicio.</t>
    </r>
    <r>
      <rPr>
        <i/>
        <sz val="10"/>
        <color indexed="30"/>
        <rFont val="Soberana Sans"/>
        <family val="3"/>
      </rPr>
      <t xml:space="preserve">
</t>
    </r>
  </si>
  <si>
    <t>(( Número de  programas académicos de calidad, pertinencia y relevancia Académica integrados al Catálogo Nacional de Formación Continua y Superación Profesional para Maestros en Servicio en el año N /  Número de  programas académicos de calidad, pertinencia y relevancia integrados al Catálogo Nacional de Formación Continua y Superación Profesional para Maestros en Servicio en el año N-1)-1) * 100</t>
  </si>
  <si>
    <t>Programa</t>
  </si>
  <si>
    <t>Las Figuras Educativas de nivel Básico en Servicio cuentan con formación y/o han sido profesionalizadas en los programas de formación continua y superación profesional de calidad,pertinencia y relevancia en las Entidades Federativas.</t>
  </si>
  <si>
    <r>
      <t>Porcentaje de Figuras Educativas de nivel Básico en Servicio formadas y/o profesionalizadas en los programas de formación continua y superación profesional de calidad, pertinencia y relevancia en las Entidades Federativas.</t>
    </r>
    <r>
      <rPr>
        <i/>
        <sz val="10"/>
        <color indexed="30"/>
        <rFont val="Soberana Sans"/>
        <family val="3"/>
      </rPr>
      <t xml:space="preserve">
Indicador Seleccionado</t>
    </r>
  </si>
  <si>
    <t>(Número de Figuras Educativas formadas y/o profesionalizadas en los programas de formación continua y superación profesional / Número total de Figuras Educativas de Educación Básica en servicio) * 100</t>
  </si>
  <si>
    <t>A Programas de formación continua y superación profesional, relevantes, pertinentes, de alta calidad académica y debidamente alineados con las prioridades educativas nacionales integrados a la oferta académica puesta a disposición de las Figuras Educativas de nivel Básico en Servicio.</t>
  </si>
  <si>
    <r>
      <t>Número de programas de formación continua y superación profesional, que integran la oferta académica nacional para las Figuras Educativas de nivel Básico en Servicio.</t>
    </r>
    <r>
      <rPr>
        <i/>
        <sz val="10"/>
        <color indexed="30"/>
        <rFont val="Soberana Sans"/>
        <family val="3"/>
      </rPr>
      <t xml:space="preserve">
</t>
    </r>
  </si>
  <si>
    <t>Total de programas de formación continua y superación profesional integrados a la oferta académica nacional</t>
  </si>
  <si>
    <t>B Las Figuras Educativas de nivel Básico en Servicio cuentan con la formación del Curso Básico de Formación Continua.</t>
  </si>
  <si>
    <r>
      <t>Porcentaje de Figuras Educativas de nivel Básico en Servicio formadas a través del Curso Básico de Formación Continua.</t>
    </r>
    <r>
      <rPr>
        <i/>
        <sz val="10"/>
        <color indexed="30"/>
        <rFont val="Soberana Sans"/>
        <family val="3"/>
      </rPr>
      <t xml:space="preserve">
</t>
    </r>
  </si>
  <si>
    <t>(Número de Figuras Educativas de nivel Básico en Servicio formadas en el Curso Básico de Formación Continua / Número total de Figuras Educativas de nivel Básico en Servicio) * 100</t>
  </si>
  <si>
    <t>C Las Figuras Educativas de nivel Básico en Servicio cuentan con formación y/o han sido profesionalizadas en el marco del Programa   del Pensamiento Lógico Mátemático y la Aplicación de la Ciencia en la Vida Diaria.</t>
  </si>
  <si>
    <r>
      <t>Porcentaje de Figuras Educativas de nivel Básico en Servicio formadas y/o profesionalizadas en el marco del Programa del Pensamiento Lógico Matemático y la Aplicación de la Ciencia en la Vida Diaria</t>
    </r>
    <r>
      <rPr>
        <i/>
        <sz val="10"/>
        <color indexed="30"/>
        <rFont val="Soberana Sans"/>
        <family val="3"/>
      </rPr>
      <t xml:space="preserve">
</t>
    </r>
  </si>
  <si>
    <t>(Número de Figuras Educativas de nivel Básico en Servicio formadas y/o profesionalizadas en el Programa del Pensamiento Lógico Matemático y la Aplicación de la Ciencia en la Vida Diaria / Número total de Figuras Educativas de nivel Básico en Servicio) * 100</t>
  </si>
  <si>
    <t>D Las Figuras Educativas de primaria y secundaria en Servicio cuentan con formación a través de Trayectos Formativos ofertados en el Catálogo Nacional de Formación Continua y Superación Profesional para Maestros de Educación Básica en Servicio, cuyos resultados fueron obtenidos en la Evaluación Universal.</t>
  </si>
  <si>
    <r>
      <t>Porcentaje de Figuras Educativas de primaria y secundaria en Servicio formadas a través de Trayectos Formativos ofertados en el Catálogo Nacional de Formación Continua y Superación Profesional para Maestros de Educación Básica en Servicio.</t>
    </r>
    <r>
      <rPr>
        <i/>
        <sz val="10"/>
        <color indexed="30"/>
        <rFont val="Soberana Sans"/>
        <family val="3"/>
      </rPr>
      <t xml:space="preserve">
Indicador Seleccionado</t>
    </r>
  </si>
  <si>
    <t>( Número de Figuras Educativas de primaria y secundaria formadas en Trayectos Formativos conforme a los resultados obtenidos en la Evaluación Universal / Número total de Figuras Educativas de primaria y secundaria Diagnosticadas en la Evaluación Universal ) *100</t>
  </si>
  <si>
    <t>A 1 Formación y/o profesionalización de Figuras Educativas de nivel Básico en Servicio en la Reforma Integral de la Educación Básica (RIEB).</t>
  </si>
  <si>
    <r>
      <t>Porcentaje de Figuras Educativas en Servicio formadas y/o profesionalizadas en la Reforma Integral de la Educación Básica (RIEB).</t>
    </r>
    <r>
      <rPr>
        <i/>
        <sz val="10"/>
        <color indexed="30"/>
        <rFont val="Soberana Sans"/>
        <family val="3"/>
      </rPr>
      <t xml:space="preserve">
</t>
    </r>
  </si>
  <si>
    <t>(Número de Figuras Educativas en Servicio formadas y/o profesionalizadas en la Reforma Integral de Educación Básica / Número de Figuras Educativas de Educación Básica en Servicio) * 100</t>
  </si>
  <si>
    <t>A 2 Formación y/o profesionalización de Figuras Educativas de nivel Básico en Servicio en procesos de Gestión, Supervisión y Asesoría.</t>
  </si>
  <si>
    <r>
      <t>Porcentaje de Figuras Educativas de nivel Básico en Servicio formadas y/o profesionalizadas en procesos de Gestión, Supervisión y Asesoría.</t>
    </r>
    <r>
      <rPr>
        <i/>
        <sz val="10"/>
        <color indexed="30"/>
        <rFont val="Soberana Sans"/>
        <family val="3"/>
      </rPr>
      <t xml:space="preserve">
</t>
    </r>
  </si>
  <si>
    <t>(Número de Figuras Educativas de Educación Básica en Servicio formadas y/o profesionalizadas en procesos de Gestión, Supervisión y Asesoría / Número total de Figuras Educativas de Educación Básica en Servicio)*100</t>
  </si>
  <si>
    <t>A 3 Formación y/o profesionalización de Figuras Educativas en servicio de primaria y secundaria en el uso Educativo de las Tecnologías de la Información y la comunicación (TIC).</t>
  </si>
  <si>
    <r>
      <t>Porcentaje de Figuras Educativas en Servicio de primaria y secundaria formadas y/o profesionalizadas en el uso Educativo de las Tecnologías de la Información y la Comunicación (TIC).</t>
    </r>
    <r>
      <rPr>
        <i/>
        <sz val="10"/>
        <color indexed="30"/>
        <rFont val="Soberana Sans"/>
        <family val="3"/>
      </rPr>
      <t xml:space="preserve">
</t>
    </r>
  </si>
  <si>
    <t>(Número de Figuras Educativas en Servicio de primaria y secundaria formadas y/o profesionalizadas en el uso educativo de las TIC / Número de Figuras Educativas en Servicio de primaria y secundaria)*100</t>
  </si>
  <si>
    <t>A 4 Formación de Figuras Educativas en Servicio de primaria y secundaria en la eneseñanza del idioma Inglés.</t>
  </si>
  <si>
    <r>
      <t>Porcentaje de Figuras Educativas en Servicio de primaria y secundaria formadas en la enseñanza del idioma Inglés.</t>
    </r>
    <r>
      <rPr>
        <i/>
        <sz val="10"/>
        <color indexed="30"/>
        <rFont val="Soberana Sans"/>
        <family val="3"/>
      </rPr>
      <t xml:space="preserve">
</t>
    </r>
  </si>
  <si>
    <t>(Número de Figuras Educativas en Servicio de primaria y secundaria formadas en la enseñanza del inglés / Número de Figuras Educativas en Servicio de inglés de primaria y secundaria)* 100</t>
  </si>
  <si>
    <t>A 5 Formación y/o profesionalización de Figuras Educativas de nivel Básico en Servicio a través de programas académicos en el área de Ciencias.</t>
  </si>
  <si>
    <r>
      <t>Porcentaje de Figuras Educativas de nivel Básico en Servicio formadas y/o profesionalizadas en la enseñanza de las Ciencias.</t>
    </r>
    <r>
      <rPr>
        <i/>
        <sz val="10"/>
        <color indexed="30"/>
        <rFont val="Soberana Sans"/>
        <family val="3"/>
      </rPr>
      <t xml:space="preserve">
</t>
    </r>
  </si>
  <si>
    <t>(Número de Figuras Educativas de nivel Básico en Servicio formadas y/o profesionalizadas en Ciencias / Número de Figuras Educativas de nivel Básico en Servicio programadas) * 100</t>
  </si>
  <si>
    <t>A 6 Formación y/o profesionalización de Figuras Educativas de nivel Básico en Servicio en el Programa de Capacitación al Magisterio para prevenir la Violencia hacia las Mujeres (PREVIOLEM).</t>
  </si>
  <si>
    <r>
      <t>Porcentaje de Figuras Educativas de nivel Básico en Servicio formadas y/o profesionalizadas en el Programa de Capacitación al Magisterio para prevenir la Violencia hacia las Mujeres (PREVIOLEM).</t>
    </r>
    <r>
      <rPr>
        <i/>
        <sz val="10"/>
        <color indexed="30"/>
        <rFont val="Soberana Sans"/>
        <family val="3"/>
      </rPr>
      <t xml:space="preserve">
</t>
    </r>
  </si>
  <si>
    <t>(Número de Figuras Educativas de nivel Básico en Servicio formadas y/o profesionalizadas en el PREVIOLEM / Número Total de Figuras Educativas de nivel Básico en Servicio programadas) * 100</t>
  </si>
  <si>
    <t>B 7 Diseño, impresión y distribución del Curso Básico de Formación Continua 2012 a las Entidades Federativas.</t>
  </si>
  <si>
    <r>
      <t>Porcentaje de Curso Básico de Formación Continua distribuido en las Entidades Federativas.</t>
    </r>
    <r>
      <rPr>
        <i/>
        <sz val="10"/>
        <color indexed="30"/>
        <rFont val="Soberana Sans"/>
        <family val="3"/>
      </rPr>
      <t xml:space="preserve">
</t>
    </r>
  </si>
  <si>
    <t>Número de materiales de apoyo académico distribuidos del Curso Básico de Formación Continua / Total de materiales de apoyo académico programados) * 100</t>
  </si>
  <si>
    <t>C 8 Formación y/o profesionalización de Figuras Educativas de primaria y secundaria a través de procesos formativos en el área de matemáticas.</t>
  </si>
  <si>
    <r>
      <t>Porcentaje de Figuras Educativas en Servicio de primaria y secundaria formadas y/o profesionalizadas en la enseñanza de las matemáticas.</t>
    </r>
    <r>
      <rPr>
        <i/>
        <sz val="10"/>
        <color indexed="30"/>
        <rFont val="Soberana Sans"/>
        <family val="3"/>
      </rPr>
      <t xml:space="preserve">
</t>
    </r>
  </si>
  <si>
    <t>(Número de Figuras Educativas en Servicio de primaria y secundaria formadas y/o profesionalizadas en la enseñanza de las matemáticas / Número de Figuras Educativas en Servicio de primaria y secundaria programadas) * 100</t>
  </si>
  <si>
    <t>C 9 Formación y/o profesionalización de Figuras Educativas de nivel Básico en Servicio a través de procesos formativos en el área de Español.</t>
  </si>
  <si>
    <r>
      <t>Porcentaje de Figuras Educativas de nivel Básico en Servicio formadas y/o profesionalizadas en la enseñanza del Español.</t>
    </r>
    <r>
      <rPr>
        <i/>
        <sz val="10"/>
        <color indexed="30"/>
        <rFont val="Soberana Sans"/>
        <family val="3"/>
      </rPr>
      <t xml:space="preserve">
</t>
    </r>
  </si>
  <si>
    <t>(Número de Figuras Educativas de nivel Básico en Servicio formadas y/o profesionalizadas en la enseñanza del Español / Número de Figuras Educativas de nivel Básico en Servicio programadas) * 100</t>
  </si>
  <si>
    <t>D 10 Las Figuras Educativas en Servicio de primaria cuentan con formación a través de Trayectos Formativos ofertados en el Catálogo Nacional de Formación Continua y Superación Profesional para Maestros de Educación Básica en Servicio, cuyos resultados fueron obtenidos en la Evaluación Universal.</t>
  </si>
  <si>
    <r>
      <t>Porcentaje de Figuras Educativas en Servicio de primaria formadas a través de Trayectos Formativos ofertados en el Catálogo Nacional de Formación Continua y Superación Profesional para Maestros de Educación Básica en Servicio.</t>
    </r>
    <r>
      <rPr>
        <i/>
        <sz val="10"/>
        <color indexed="30"/>
        <rFont val="Soberana Sans"/>
        <family val="3"/>
      </rPr>
      <t xml:space="preserve">
</t>
    </r>
  </si>
  <si>
    <t>(Total de Figuras Educativas en  Servicio de primaria formadas a través de los Trayectos Formativos / Total de Figuras Educativas en  Servicio de primaria diagnósticadas en la Evaluación Universal) *100</t>
  </si>
  <si>
    <t>D 11 Las Figuras Educativas en Servicio de secundaria cuentan con formación a través de Trayectos Formativos ofertados en el Catálogo Nacional de Formación Continua y Superación Profesional para Maestros de Educación Básica en Servicio, cuyos resultados fueron obtenidos en la Evaluación Universal.</t>
  </si>
  <si>
    <r>
      <t>Porcentaje de Figuras Educativas en Servicio de secundaria formadas a través de Trayectos Formativos ofertados en el Catálogo Nacional de Formación Continua y Superación Profesional para Maestros de Educación Básica en Servicio.</t>
    </r>
    <r>
      <rPr>
        <i/>
        <sz val="10"/>
        <color indexed="30"/>
        <rFont val="Soberana Sans"/>
        <family val="3"/>
      </rPr>
      <t xml:space="preserve">
</t>
    </r>
  </si>
  <si>
    <t>(Total de Figuras Educativas en Servicio de secundaria formadas a través de los Trayectos Formativos / Total de Figuras Educativas en  Servicio de secundaria diagnosticadas en la Evaluación Universal) *100</t>
  </si>
  <si>
    <r>
      <t xml:space="preserve">Tasa de variación de programas académicos de calidad, pertinencia y relevancia académica integrados al Catálogo Nacional de Formación Continua y Superación Profesional para Maestros en Servicio.
</t>
    </r>
    <r>
      <rPr>
        <sz val="10"/>
        <rFont val="Soberana Sans"/>
        <family val="2"/>
      </rPr>
      <t xml:space="preserve"> Causa : Se programó la meta a partir de la línea base disponible; sin embargo, la reorientación de la oferta académica demandó una revisión y validación de propuestas que respondieran a los criterios cualitativos señalados, además de aquel que se refiere al principio de suficiencia, y no tanto a un incremento numérico de programas formativos. Efecto: Aunque numéricamente se redujo la oferta disponible, las AEL desarrollaron a nivel nacional poco más de 800 programas académicos conforme los criterios esperados. A partir de  las prioridades educativas nacionales y locales, en el marco de la actual política educativa impulsada por el actual Gobierno de la República. Ello, de ninguna manera influyó para que se lograra la meta nacional de figuras formadas y/o profesionalizadas, la cual se rebasó. Otros Motivos:</t>
    </r>
  </si>
  <si>
    <r>
      <t xml:space="preserve">Porcentaje de Figuras Educativas de nivel Básico en Servicio formadas y/o profesionalizadas en los programas de formación continua y superación profesional de calidad, pertinencia y relevancia en las Entidades Federativas.
</t>
    </r>
    <r>
      <rPr>
        <sz val="10"/>
        <rFont val="Soberana Sans"/>
        <family val="2"/>
      </rPr>
      <t xml:space="preserve"> Causa : La Secretaría de Educación Pública estableció en el programa presupuestario S127 para el ejercicio 2013, el indicador estratégico Porcentaje de Figuras Educativas de nivel Básico en Servicio formadas y/o profesionalizadas en los programas de formación continua y superación profesional de calidad, pertinencia y relevancia en las Entidades Federativas, como un indicador de eficacia. Al cierre del año, se lograron 775,321 Figuras Educativas formadas y/o profesionalizadas, con lo que la meta de este indicador se ubicó en 69.76%, y alcanzó un porcentaje de cumplimiento de 103.38%. Este comportamiento se explica principalmente por lo siguiente:   .  La Dirección General de Formación Continua de Maestros en Servicio comenta que se logró rebasar la meta estimada a partir del impulso de acciones formativas dirigidas a docentes, directivos, supervisores y personal de apoyo técnico pedagógico.        Efecto: Los beneficios económicos y sociales alcanzados con este indicador de propósito, contribuyeron a:        . Una activa participación de actores e instancias involucradas en los procesos de formación continua y desarrollo profesional, en respuesta a las múltiples necesidades de atención académica a los temas y problemas de relevancia social a nivel federal y estatal, determinados conforme las prioridades educativas nacionales y locales, sumando con ello a figuras educativas.                 Otros Motivos:</t>
    </r>
  </si>
  <si>
    <r>
      <t xml:space="preserve">Número de programas de formación continua y superación profesional, que integran la oferta académica nacional para las Figuras Educativas de nivel Básico en Servicio.
</t>
    </r>
    <r>
      <rPr>
        <sz val="10"/>
        <rFont val="Soberana Sans"/>
        <family val="2"/>
      </rPr>
      <t xml:space="preserve"> Causa : Se programó la meta a partir de la línea base disponible; sin embargo, la reorientación de la oferta académica demandó una revisión y validación de propuestas que respondieran a los criterios cualitativos señalados, además de aquel que se refiere al principio de suficiencia, y no tanto a un incremento numérico de programas formativos Efecto: Aunque numéricamente se redujo la oferta disponible, las AEL desarrollaron a nivel nacional poco más de 800 programas académicos conforme los criterios esperados. A partir de  las prioridades educativas nacionales y locales, en el marco de la actual política educativa impulsada por el actual Gobierno de la República. Ello, de ninguna manera influyó para que se lograra la meta nacional de figuras formadas y/o profesionalizadas, la cual se rebasó. Otros Motivos:</t>
    </r>
  </si>
  <si>
    <r>
      <t xml:space="preserve">Porcentaje de Figuras Educativas de nivel Básico en Servicio formadas a través del Curso Básico de Formación Continua.
</t>
    </r>
    <r>
      <rPr>
        <sz val="10"/>
        <rFont val="Soberana Sans"/>
        <family val="2"/>
      </rPr>
      <t xml:space="preserve"> Causa : De conformidad con la actual política educativa impulsada por el Gobierno de la República, la oferta académica para el impulso de procesos y acciones en materia de formación, actualización, desarrollo y superación profesional docente, estará sujeta a un nuevo modelo pedagógico basado en la identificación de las necesidades de formación continua y desarrollo profesional situadas en el aula y la escuela de los distintos niveles, modalidades y servicios de la educación básica; a partir de los referentes proporcionados a través de las evaluaciones internas y externas. En este sentido, y como parte de las acciones que la Dirección General de Formación Continua de Maestros en Servicio implementó para integrar un Catálogo Nacional de Formación Continua de Maestros en Servicio, conformado por programas académicos pertinentes, relevantes, suficientes y de calidad; se llevó a cabo el análisis y la valoración académica de los programas incluidos en el Catálogo correspondiente al ciclo escolar 2011-2012. Efecto: Esta situación, de ninguna manera implicó negativa o desfavorablemente que la reducción numérica de la oferta disponible de programas académicos impactara el impulso de las acciones de formación continua y desarrollo profesional docente, así como tampoco que se pusiera en riesgo el impacto académico esperado, toda vez que a nivel nacional se desarrollaron poco más de 800 programas académicos conforme los criterios esperados, hecho que se acredita a través de la participación de más de 750, 000 mil docentes formados y/o profesionalizados en diversos temas que permiten brindar atención a las prioridades educativas nacionales y locales. Otros Motivos:</t>
    </r>
  </si>
  <si>
    <r>
      <t xml:space="preserve">Porcentaje de Figuras Educativas de nivel Básico en Servicio formadas y/o profesionalizadas en el marco del Programa del Pensamiento Lógico Matemático y la Aplicación de la Ciencia en la Vida Diaria
</t>
    </r>
    <r>
      <rPr>
        <sz val="10"/>
        <rFont val="Soberana Sans"/>
        <family val="2"/>
      </rPr>
      <t xml:space="preserve"> Causa : Una de las prioridades educativas nacionales, resultado de procesos de evaluación dentro y fuera de la escuela, responde al fortalecimiento del pensamiento lógico-matemático y la aplicación de la ciencia en la vida diaria en la educación básica, de ahí que la oferta de programas formativos disponible representó una oportunidad para su desarrollo académico en aras de incidir en los resultados del aprendizaje de niñas, niños y adolescentes. Efecto: Los documentos de política educativa a nivel federal y aún también estatal, focalizan la necesidad de atender procesos formativos y de desarrollo profesional en este campo formativo del currículo oficial, como una oportunidad para mejorar las prácticas de enseñanza en el aula y la escuela de educación básica y, en consecuencia, incidir en el fortalecimiento de las competencias y habilidades necesarias para incidir en el desempeño escolar. Otros Motivos:</t>
    </r>
  </si>
  <si>
    <r>
      <t xml:space="preserve">Porcentaje de Figuras Educativas de primaria y secundaria en Servicio formadas a través de Trayectos Formativos ofertados en el Catálogo Nacional de Formación Continua y Superación Profesional para Maestros de Educación Básica en Servicio.
</t>
    </r>
    <r>
      <rPr>
        <sz val="10"/>
        <rFont val="Soberana Sans"/>
        <family val="2"/>
      </rPr>
      <t xml:space="preserve"> Causa : La Secretaría de Educación Pública estableció en el programa presupuestario S127 para el ejercicio 2013, el indicador estratégico Porcentaje de Figuras Educativas de primaria y secundaria en Servicio formadas a través de Trayectos Formativos ofertados en el Catálogo Nacional de Formación Continua y Superación Profesional para Maestros de Educación Básica en Servicio, como un indicador de eficacia. Al cierre del año, se logró apoyar a 151,560 Figuras Educativas de primaria y secundaria, con lo que la meta de este indicador se ubicó en 25.38%, y alcanzó un porcentaje de cumplimiento de 101.03% respecto de la meta programada. Este comportamiento se explica principalmente por lo siguiente:   . La Dirección General de Formación Continua de Maestros en Servicio comenta que la evaluación universal concluyó a la par del ciclo escolar 2012-2013, respondiendo con ello a un compromiso derivado de la política educativa enmarcada en el Programa Sectorial de Educación 2007-2014 (PROSEDU 2007-2012); asimismo, influyó el anterior esquema del Programa del Sistema Nacional de Formación Continua y Superación Profesional de Maestros de Educación Básica en Servicio desarrollado a través de Reglas de Operación en ejercicios fiscales anteriores.       Efecto: Los beneficios económicos y sociales alcanzados con este indicador de componente, contribuyeron a:      El número de figuras educativas formadas a través de trayectos formativos, representa la conclusión de una acción académica impulsada el sexenio anterior, en el marco de la Alianza por la Calidad de la Educación; sin embargo, su vinculación académica con el Acuerdo 592 por el que se establece la articulación de la educación básica a través del Plan y los Programas de Estudio para la Educación Básica 2011, generó una demanda que fue cubierta satisfactoriamente por la federación en coordinación con las autoridades educativas locales.       Otros Motivos:</t>
    </r>
  </si>
  <si>
    <r>
      <t xml:space="preserve">Porcentaje de Figuras Educativas en Servicio formadas y/o profesionalizadas en la Reforma Integral de la Educación Básica (RIEB).
</t>
    </r>
    <r>
      <rPr>
        <sz val="10"/>
        <rFont val="Soberana Sans"/>
        <family val="2"/>
      </rPr>
      <t xml:space="preserve"> Causa : La RIEB, concluyó a la par del ciclo escolar 2012-2013, respondiendo a un compromiso derivado de la política educativa nacional enmarcada en el PROSEDU 2007-2012, así como a partir del anterior esquema del PSNFCSP desarrollado a través de Reglas de Operación en ejercicios fiscales anteriores. Efecto: El número de figuras educativas formadas y/o profesionalizadas en la RIEB, representa la conclusión de una acción formativa impulsada el sexenio anterior, en el marco de la Alianza por la Calidad de la Educación; sin embargo, su vinculación académica con el Acuerdo 592 por el que se establece la articulación de la educación básica a través del Plan y los Programas de Estudio para la Educación Básica 2011, generó una demanda que fue cubierta por la federación en coordinación con las autoridades educativas locales. Otros Motivos:</t>
    </r>
  </si>
  <si>
    <r>
      <t xml:space="preserve">Porcentaje de Figuras Educativas de nivel Básico en Servicio formadas y/o profesionalizadas en procesos de Gestión, Supervisión y Asesoría.
</t>
    </r>
    <r>
      <rPr>
        <sz val="10"/>
        <rFont val="Soberana Sans"/>
        <family val="2"/>
      </rPr>
      <t xml:space="preserve"> Causa : Los programas formativos disponibles a nivel nacional, históricamente habían respondido a temas y asignaturas académicas vinculadas al currículo de la educación básica; sin embargo, en la presente administración, además de contenidos que atiendan las prioridades educativas nacionales, se impulsó la formación de integrantes de equipos técnicos y otras figuras de apoyo a la educación, además del personal directivo, de supervisión y apoyo técnico pedagógico. Efecto: A partir de lo que establece el PND y el PSE 2013-2018, la oferta académica de programas formativos destinados al abordaje de temas vinculados a la gestión, supervisión y asesoría técnico pedagógica ha cobrado importancia para impulsar y operar a nivel nacional, regional y local el proceso de reforma educativa en nuestro país; de ahí que la participación de estos actores educativos es fundamental para implementar la legislación secundaria en materia educativa. Otros Motivos:</t>
    </r>
  </si>
  <si>
    <r>
      <t xml:space="preserve">Porcentaje de Figuras Educativas en Servicio de primaria y secundaria formadas y/o profesionalizadas en el uso Educativo de las Tecnologías de la Información y la Comunicación (TIC).
</t>
    </r>
    <r>
      <rPr>
        <sz val="10"/>
        <rFont val="Soberana Sans"/>
        <family val="2"/>
      </rPr>
      <t xml:space="preserve"> Causa : Como parte de la redefinición de la política nacional de formación continua y desarrollo profesional docente y en el marco de los documentos de planeación estratégica del Gobierno Federal PND y PSE, la Dirección General de Formación Continua de Maestros en Servicio diseñó   la estrategia nacional para impulsar el uso educativo de las TIC, misma que fue implementada al inicio del ciclo escolar 2013-2014. Asimismo y derivado de los compromisos institucionales  las acciones implementadas a nivel nacional se focalizaron, en una primera etapa al acompañamiento y seguimiento a la etapa de generalización de la capacitación correspondiente a docentes de 5to y 6to grados de educación primaria de las entidades federativas que participan en el Proyecto de dotación de equipos de cómputo portátil. (Colima, Sonora y Tabasco).  Efecto: En el marco de los documentos de planeación gubernamental, la priorización de acciones formativas en esta materia, dirigidas a figuras educativas de educación primaria, responde a la necesidad de atender a las tres entidades federativas que participaron en la distribución de equipos de cómputo portátil; asimismo, a los integrantes de los equipos técnicos estatales responsables de diseñar y operar acciones formativas en cada una de las tres entidades participantes (Colima, Sonora y Tabasco). Sin embargo, la continuación del ciclo escolar, permite impulsar acciones académicas que brinden atención a la meta nacional. Otros Motivos:</t>
    </r>
  </si>
  <si>
    <r>
      <t xml:space="preserve">Porcentaje de Figuras Educativas en Servicio de primaria y secundaria formadas en la enseñanza del idioma Inglés.
</t>
    </r>
    <r>
      <rPr>
        <sz val="10"/>
        <rFont val="Soberana Sans"/>
        <family val="2"/>
      </rPr>
      <t xml:space="preserve"> Causa : La estimación de la meta nacional, respondió a la reorientación de las acciones formativas en esta materia; sin embargo, la demanda de programas formativos se rebasó significativamente, debido a la participación de figuras educativas interesadas en fortalecer su proceso formativo, conforme las prioridades educativas nacionales en el marco de la Sociedad del Conocimiento. Efecto: Las autoridades educativas locales, al disponer de otras fuentes de financiamiento federal y estatal, impulsaron acciones formativas dirigidas al conocimiento, comprensión y dominio de una segunda lengua, específicamente el inglés, con lo cual se logró atender a un mayor número de población docente que se desempeña en los distintos niveles, modalidades y servicios de la educación básica a nivel nacional. Otros Motivos:</t>
    </r>
  </si>
  <si>
    <r>
      <t xml:space="preserve">Porcentaje de Figuras Educativas de nivel Básico en Servicio formadas y/o profesionalizadas en la enseñanza de las Ciencias.
</t>
    </r>
    <r>
      <rPr>
        <sz val="10"/>
        <rFont val="Soberana Sans"/>
        <family val="2"/>
      </rPr>
      <t xml:space="preserve"> Causa : Una de las prioridades educativas nacionales, resultado de procesos de evaluación dentro y fuera de la escuela, responde al fortalecimiento de la enseñanza de las Ciencias en la educación básica; de ahí que la oferta de programas formativos disponible representó una oportunidad para su desarrollo académico en aras de incidir en los resultados del aprendizaje de niñas, niños y adolescentes. Efecto: Los documentos de política educativa a nivel federal y aún también estatal, focalizan la necesidad de atender procesos formativos y de desarrollo profesional en este campo formativo del currículo oficial, como una oportunidad para mejorar las prácticas de enseñanza en el aula y la escuela de educación básica y, en consecuencia, favorecer el aprendizaje del alumnado en este campo de formación continua y desarrollo profesional. Otros Motivos:</t>
    </r>
  </si>
  <si>
    <r>
      <t xml:space="preserve">Porcentaje de Figuras Educativas de nivel Básico en Servicio formadas y/o profesionalizadas en el Programa de Capacitación al Magisterio para prevenir la Violencia hacia las Mujeres (PREVIOLEM).
</t>
    </r>
    <r>
      <rPr>
        <sz val="10"/>
        <rFont val="Soberana Sans"/>
        <family val="2"/>
      </rPr>
      <t xml:space="preserve"> Causa : La meta nacional se construyó a partir de la línea base que registran las acciones formativas de sensibilización y capacitación al magisterio nacional en temas transversales a la equidad de género en la educación básica, justo como una responsabilidad social para impulsar esta perspectiva de los derechos humanos en el quehacer institucional y las propias prácticas docentes en los distintos niveles, modalidades y servicios de la educación básica. Efecto: La participación de maestras y maestros en estas acciones formativas, responde al interés y disposición de las y los profesionales de la educación para incorporar la perspectiva de género en su práctica docente; a través del desarrollo de programas académicos que responden a la necesidad de capacitar al magisterio en esta temática para incidir en un clima áulico, escolar y comunitario favorable para favorecer el trabajo individual, entre pares y colectivo. Otros Motivos:</t>
    </r>
  </si>
  <si>
    <r>
      <t xml:space="preserve">Porcentaje de Curso Básico de Formación Continua distribuido en las Entidades Federativas.
</t>
    </r>
    <r>
      <rPr>
        <sz val="10"/>
        <rFont val="Soberana Sans"/>
        <family val="2"/>
      </rPr>
      <t xml:space="preserve"> Causa : Para el ciclo escolar 2013-2014, la Secretaría de Educación Pública, a través de la Subsecretaría de Educación Básica en colaboración con la Dirección General de Formación Continua de Maestros en Servicio, emprende un conjunto de acciones orientadas a atender tres prioridades educativas nacionales que permitan fortalecer a la escuela pública mexicana en el cumplimiento de su misión: garantizar una serie de condiciones que permitan una normalidad mínima en las tareas escolares, la mejora de los aprendizajes de los estudiantes y abatir el rezago educativo.        Par el logro de estas tres prioridades, es necesario el diseño de un marco normativo de actuación de la supervisión escolar, la descarga administrativa en las escuelas y el fortalecimiento de los Consejo Técnicos Escolares, concebidos como el espacio para el análisis y la toma de decisiones sobre los diversos asuntos escolares que propicien la trasformación de las prácticas docentes para favorecer que todos los niños, niñas y jóvenes que asisten a la escuela logren alcanzar los aprendizajes esperados, así como un referente necesario para el desarrollo profesional de los maestros. En este contexto, se puso a disposición de las maestras y maestros de todos los niveles, modalidades y servicios educativos la Guía de trabajo denominada El Consejo Técnico Escolar: una ocasión para el desarrollo profesional docente y la mejora de la escuela, propuesta formativa que tiene como finalidad que los participantes reconozcan las oportunidades que brinda el Consejo Técnico Escolar para la mejora de los aprendizajes de sus alumnos y, a partir de éstas, determinen las acciones que desarrollarán en la escuela a los largo del ciclo escolar.     Efecto:  La Guía de trabajo denominada El Consejo Técnico Escolar: una ocasión para el desarrollo profesional docente y la mejora de la escuela, constituye una herramienta de apoyo al trabajo que se desarrolla en el seno del Consejo Técnico Escolar, por lo que el colectivo docente, a través del liderazgo del directivo escolar, decidirá cómo se organiza el abordaje de los contenidos y las actividades académicas programadas para trabajar durante cada sesión, a partir de su contexto general y necesidades específicas para contribuir así al desarrollo de las tareas consideradas en el marco de la fase intensiva del Consejo Técnico Escolar. Prueba de ello, es que se logró -a través de la impresión y distribución a nivel nacional de 1´450,000 mil ejemplares del material mencionado-, la participación activa del personal en servicio a través del conocimiento, la comprensión, el uso y aprovechamiento de este material de apoyo en el marco de su quehacer educativo. Otros Motivos:</t>
    </r>
  </si>
  <si>
    <r>
      <t xml:space="preserve">Porcentaje de Figuras Educativas en Servicio de primaria y secundaria formadas y/o profesionalizadas en la enseñanza de las matemáticas.
</t>
    </r>
    <r>
      <rPr>
        <sz val="10"/>
        <rFont val="Soberana Sans"/>
        <family val="2"/>
      </rPr>
      <t xml:space="preserve"> Causa : Una de las prioridades educativas nacionales, resultado de procesos de evaluación dentro y fuera de la escuela, responde al fortalecimiento de las matemáticas en la educación básica; de ahí que la oferta de programas formativos disponible representó un importante esfuerzo institucional a nivel federal y local para favorecer su desarrollo académico en aras de incidir en los resultados del aprendizaje de niñas, niños y adolescentes. Efecto: Los documentos de política educativa a nivel federal y aún también estatal, focalizaron la necesidad de atender procesos formativos y de desarrollo profesional en esta asignatura del currículo oficial, como una oportunidad para mejorar las prácticas de enseñanza en el aula y la escuela de educación básica; sin embargo, la participación de las figuras educativas se inclinó hacia una propuesta pedagógica integral como lo fue la iniciativa para fortalecer el pensamiento lógico-matemático y la aplicación de las ciencias en la vida diaria en los distintos niveles, modalidades y servicios de la educación básica, y no sólo de la asignatura a nivel primaria y secundaria. Otros Motivos:</t>
    </r>
  </si>
  <si>
    <r>
      <t xml:space="preserve">Porcentaje de Figuras Educativas de nivel Básico en Servicio formadas y/o profesionalizadas en la enseñanza del Español.
</t>
    </r>
    <r>
      <rPr>
        <sz val="10"/>
        <rFont val="Soberana Sans"/>
        <family val="2"/>
      </rPr>
      <t xml:space="preserve"> Causa : Una de las prioridades educativas nacionales, resultado de procesos de evaluación dentro y fuera de la escuela, responde al fortalecimiento de la lectura y la escritura en la educación básica; de ahí que la oferta de programas formativos disponible representó una oportunidad para su desarrollo académico en aras de incidir en los resultados del aprendizaje de niñas, niños y adolescentes. Efecto: Los documentos de política educativa a nivel federal y aún también estatal, focalizan la necesidad de atender procesos formativos y de desarrollo profesional en esta asignatura del currículo oficial, como una oportunidad para mejorar las prácticas de enseñanza en el aula y la escuela de educación básica y, en consecuencia, favorecer el aprendizaje del alumnado en este campo formativo. Otros Motivos:</t>
    </r>
  </si>
  <si>
    <r>
      <t xml:space="preserve">Porcentaje de Figuras Educativas en Servicio de primaria formadas a través de Trayectos Formativos ofertados en el Catálogo Nacional de Formación Continua y Superación Profesional para Maestros de Educación Básica en Servicio.
</t>
    </r>
    <r>
      <rPr>
        <sz val="10"/>
        <rFont val="Soberana Sans"/>
        <family val="2"/>
      </rPr>
      <t xml:space="preserve"> Causa : El esquema de formación continua y desarrollo profesional basado en el diseño, desarrollo y evaluación de trayectos formativos para la educación primaria concluyó a la par del ciclo escolar 2012-2013, respondiendo aún a un compromiso derivado de la política educativa enmarcada en el PROSEDU 2007-2012, así como a partir del anterior esquema del PSNFCSP desarrollado a través de Reglas de Operación en ejercicios fiscales anteriores. Efecto: El número de figuras educativas formadas a través del esquema de trayectos formativos, representa la conclusión de una acción académica impulsada el sexenio anterior, en el marco de la Alianza por la Calidad de la Educación; sin embargo, su vinculación académica con el Acuerdo 592 por el que se establece la articulación de la educación básica a través del Plan y los Programas de Estudio para la Educación Básica 2011, generó una demanda que fue cubierta satisfactoriamente por la federación en coordinación con las autoridades educativas locales, en el marco del ciclo escolar 2012-2013. Otros Motivos:</t>
    </r>
  </si>
  <si>
    <r>
      <t xml:space="preserve">Porcentaje de Figuras Educativas en Servicio de secundaria formadas a través de Trayectos Formativos ofertados en el Catálogo Nacional de Formación Continua y Superación Profesional para Maestros de Educación Básica en Servicio.
</t>
    </r>
    <r>
      <rPr>
        <sz val="10"/>
        <rFont val="Soberana Sans"/>
        <family val="2"/>
      </rPr>
      <t xml:space="preserve"> Causa : El esquema de formación continua y desarrollo profesional basado en el diseño, desarrollo y evaluación de trayectos formativos para la educación secundaria concluyó a la par del ciclo escolar 2012-2013, respondiendo aún a un compromiso derivado de la política educativa enmarcada en el PROSEDU 2007-2012, así como a partir del anterior esquema del PSNFCSP desarrollado a través de Reglas de Operación en ejercicios fiscales anteriores. Efecto: El número de figuras educativas formadas a través del esquema de trayectos formativos en este nivel educativo, representa la conclusión de una acción académica impulsada el sexenio anterior, en el marco de la Alianza por la Calidad de la Educación; sin embargo, su vinculación académica con el Acuerdo 592 por el que se establece la articulación de la educación básica a través del Plan y los Programas de Estudio para la Educación Básica 2011, generó una oferta académica que sólo fue considerada por aquellos docentes que, en el marco del ciclo escolar 2012-2013, decidieron participar considerando aún los resultados de la extinta Evaluación Universal. Otros Motivos:</t>
    </r>
  </si>
  <si>
    <t>S152</t>
  </si>
  <si>
    <t>Programa para el Fortalecimiento del Servicio de la Educación Telesecundaria</t>
  </si>
  <si>
    <t>311-Dirección General de Materiales e Informática Educativa</t>
  </si>
  <si>
    <t>Contribuir a mejorar el logro educativo de los estudiantes de las telesecundarias objeto de atencion, a traves del fortalecimiento del servicio de telesecundaria</t>
  </si>
  <si>
    <r>
      <t>Tasa de variación del logro alcanzado en Español de las escuelas telesecundarias objeto de atención.</t>
    </r>
    <r>
      <rPr>
        <i/>
        <sz val="10"/>
        <color indexed="30"/>
        <rFont val="Soberana Sans"/>
        <family val="3"/>
      </rPr>
      <t xml:space="preserve">
Indicador Seleccionado</t>
    </r>
  </si>
  <si>
    <t>[(Logro alcanzado en español en la prueba Enlace el año t  de las escuelas telesecundarias objeto de atención / Logro alcanzado en español en la prueba Enlace el año t-1  de las escuelas telesecundarias objeto de atención)-1]*100</t>
  </si>
  <si>
    <r>
      <t>Tasa de variación del logro alcanzado en Matemáticas de las escuelas telesecundarias objeto de atención.</t>
    </r>
    <r>
      <rPr>
        <i/>
        <sz val="10"/>
        <color indexed="30"/>
        <rFont val="Soberana Sans"/>
        <family val="3"/>
      </rPr>
      <t xml:space="preserve">
Indicador Seleccionado</t>
    </r>
  </si>
  <si>
    <t>[(Logro alcanzado en Matemáticas en la prueba Enlace el año t  de las escuelas telesecundarias objeto de atención / Logro alcanzado en Matemáticas en la prueba Enlace el año t-1  de las escuelas telesecundarias objeto de atención)-1]*100</t>
  </si>
  <si>
    <t>El modelo pedagógico de Telesecundaria promueve el logro académico de sus estudiantes a través de la mejora de los procesos de aprendizaje, de gestión escolar y la actualzación del mobiliario educacional.</t>
  </si>
  <si>
    <r>
      <t>Tasa de variación de las escuelas telesecundarias atendidas por el programa que han mejorado el logro educativo en Español en la prueba Enlace</t>
    </r>
    <r>
      <rPr>
        <i/>
        <sz val="10"/>
        <color indexed="30"/>
        <rFont val="Soberana Sans"/>
        <family val="3"/>
      </rPr>
      <t xml:space="preserve">
</t>
    </r>
  </si>
  <si>
    <t>[(Número de escuelas Telesecundarias apoyadas con servicios que brinda el PFT que disminuyeron del 80% de  alumnos en los niveles insuficiente y elemental en la asignatura de español de la prueba Enlace en el año t / Número de escuelas Telesecundarias apoyadas con servicios que brinda el PFT que disminuyeron del 80% de alumnos en los niveles insuficiente y elemental en la asignatura de español de la prueba Enlace en el año t-1)-1]*100</t>
  </si>
  <si>
    <r>
      <t>Tasa de variación de las escuelas telesecundarias atendidas por el programa que han mejorado el logro educativo en Matemáticas en la prueba Enlace</t>
    </r>
    <r>
      <rPr>
        <i/>
        <sz val="10"/>
        <color indexed="30"/>
        <rFont val="Soberana Sans"/>
        <family val="3"/>
      </rPr>
      <t xml:space="preserve">
</t>
    </r>
  </si>
  <si>
    <t>[(Número de escuelas Telesecundarias apoyadas con servicios que brinda el PFT que disminuyeron del 80% de  alumnos en los niveles insuficiente y elemental en la asignatura de Matemáticas de la prueba Enlace en el año t / Número de escuelas Telesecundarias apoyadas con servicios que brinda el PFT que disminuyeron del 80% de alumnos en los niveles insuficiente y elemental en la asignatura de Matemáticas de la prueba Enlace en el año t-1)-1]*100</t>
  </si>
  <si>
    <t>A Proceso de ensenanza fortalecido mediante la capacitacion y actualizacion de docentes, directivos y Asesores Tecnico-Pedagogicos (ATPs) de las escuelas objeto de atencion</t>
  </si>
  <si>
    <r>
      <t>Porcentaje de necesidades de capacitación y actualización atendidas.</t>
    </r>
    <r>
      <rPr>
        <i/>
        <sz val="10"/>
        <color indexed="30"/>
        <rFont val="Soberana Sans"/>
        <family val="3"/>
      </rPr>
      <t xml:space="preserve">
</t>
    </r>
  </si>
  <si>
    <t>[[(Necesidades de capacitación y actualización atendidas para docentes / Necesidades de capacitación y actualización diagnosticadas para docentes) *(0.5)] + [(Necesidades de capacitación y actualización atendidas para  directivos / Necesidades de capacitación y actualización diagnosticadas para directivos) *(0.2)] + [(Necesidades de capacitación y actualización atendidas para ATP´s / Necesidades de capacitación y actualización diagnosticadas para ATP´s) *(0.3)]]*100</t>
  </si>
  <si>
    <t>B Proceso de aprendizaje de los alumnos de telesecundaria objeto de atencion, fortalecido mediante acciones de apoyo al rendimiento escolar</t>
  </si>
  <si>
    <r>
      <t>Variación en el índice de aprobación de alumnos de escuelas telesecundarias objeto de atención</t>
    </r>
    <r>
      <rPr>
        <i/>
        <sz val="10"/>
        <color indexed="30"/>
        <rFont val="Soberana Sans"/>
        <family val="3"/>
      </rPr>
      <t xml:space="preserve">
</t>
    </r>
  </si>
  <si>
    <t>Índice de aprobación de alumnos de Telesecundaria en ciclo n-((n+1)).- Índice de aprobación de alumnos de Telesecundaria en ciclo ((n-1))-n</t>
  </si>
  <si>
    <t>C Gestión escolar de Docentes, Directivos, Asesores Técnico-Pedagógicos (ATP´s) y Jefes de los Servicios Estatales de Telesecundaria (SET´s) mejorada a través de acciones de capacitación y actualización.</t>
  </si>
  <si>
    <r>
      <t>Porcentaje de necesidades de capacitación y actualización para la gestión atendidas</t>
    </r>
    <r>
      <rPr>
        <i/>
        <sz val="10"/>
        <color indexed="30"/>
        <rFont val="Soberana Sans"/>
        <family val="3"/>
      </rPr>
      <t xml:space="preserve">
</t>
    </r>
  </si>
  <si>
    <t>[[(Necesidades de capacitación y actualización para la gestión para Docentes atendidas / Necesidades de capacitación y actualización para la gestión para Docentes diagnosticadas) *(0.25)] + [(Necesidades de capacitación y actualización para la gestión para Directivos atendidas / Necesidades de capacitación y actualización para la gestión para Directivos diagnosticadas) *(0.25)] + [(Necesidades de capacitación y actualización para la gestión para  ATP´s atendidas / Necesidades de capacitación y actualización para la gestión para  ATP´s diagnosticadas) *(0.25)] + [(Necesidades de capacitación y actualización para la gestión para Jefes de los SET´s atendidas / Necesidades de capacitación y actualización para la gestión para Jefes de los SET´s diagnosticadas) *(0.25)]]*100</t>
  </si>
  <si>
    <t>D Escuelas Telesecundarias objeto de atención con Mobiliario educacional actualizado en relación a avances tecnológicos</t>
  </si>
  <si>
    <r>
      <t>Porcentaje de escuelas objeto de atención con mobiliario educacional actualizado</t>
    </r>
    <r>
      <rPr>
        <i/>
        <sz val="10"/>
        <color indexed="30"/>
        <rFont val="Soberana Sans"/>
        <family val="3"/>
      </rPr>
      <t xml:space="preserve">
</t>
    </r>
  </si>
  <si>
    <t>(Número de escuelas objeto de atención con mobiliario educacional actualizado / Total de escuelas objeto de atención con necesidades de actualziación detectadas)*100</t>
  </si>
  <si>
    <t>A 1 Capacitacion y actualizacion de Docentes, Directivos y Asesores T¿cnicos Pedagogicos (ATPs) de las escuelas telesecundarias objeto de atencion, en el proceso de ensenanza</t>
  </si>
  <si>
    <r>
      <t>Porcentaje de  docentes, directivos y ATP´s  capacitados y actualizados en el proceso de enseñanza</t>
    </r>
    <r>
      <rPr>
        <i/>
        <sz val="10"/>
        <color indexed="30"/>
        <rFont val="Soberana Sans"/>
        <family val="3"/>
      </rPr>
      <t xml:space="preserve">
</t>
    </r>
  </si>
  <si>
    <t>[[ ((Docentes hombres capacitados y actualizados en necesidades diagnosticadas + Docentes mujeres capacitadas y actualizadas en necesidades diagnosticadas) / Total de docentes programados para capacitar y actualizar en necesidades diagnosticadas)) *(0.5) ] + [ ((Directivos hombres capacitados y actualizados en necesidades diagnosticadas + Directivas mujeres capacitadas y actualizadas en necesidades diagnosticadas) / Total de directivos programados para capacitar y actualizar en necesidades diagnosticadas) *(0.2) ] + [ ((Apoyos Técnico Pedagógicos hombres capacitados y actualizados en necesidades diagnosticadas + Apoyos Técnico Pedagógicos mujeres capacitadas y actualizadas en necesidades diagnosticadas) / (Total de Apoyos Técnico Pedagógicos programados para capacitar y actualizar en necesidades diagnosticadas)) *(0.3) ]]*100</t>
  </si>
  <si>
    <t>B 2 Implementación de estrategias de apoyo al rendimiento escolar.</t>
  </si>
  <si>
    <r>
      <t>Índice de Impacto de las estrategias de apoyo al rendimiento escolar de los alumnos de Telesecundaria</t>
    </r>
    <r>
      <rPr>
        <i/>
        <sz val="10"/>
        <color indexed="30"/>
        <rFont val="Soberana Sans"/>
        <family val="3"/>
      </rPr>
      <t xml:space="preserve">
</t>
    </r>
  </si>
  <si>
    <t>Véase definición del indicador, no es posble escribirlo en este apartado</t>
  </si>
  <si>
    <t>C 3 Capacitación y actualización de Docentes, Directivos y Asesores Técnicos Pedagógicos (ATP´s) y Jefes de los Servicios Estatales de Telesecundaria (SET´s) en el proceso gestión</t>
  </si>
  <si>
    <r>
      <t>Porcentaje de docentes, directivos, ATP´s y Jefes de los SET´s capacitados y actualizados para la gestión escolar.</t>
    </r>
    <r>
      <rPr>
        <i/>
        <sz val="10"/>
        <color indexed="30"/>
        <rFont val="Soberana Sans"/>
        <family val="3"/>
      </rPr>
      <t xml:space="preserve">
</t>
    </r>
  </si>
  <si>
    <t>[ [((Docentes hombres capacitados y actualizados para la gestión + Docentes mujeres capacitadas y actualizadas para la gestión) / Docentes programados para capacitar y actualizar para la gestión) *(0.25)] + [((Directivos hombres capacitados y actualizados  para la gestión + Directivos mujeres capacitadas y actualizadas para la gestión) / Directivos programados para capacitar y actualizar para la gestión) *(0.25)] + [((ATP´s hombres capacitados y actualizados para la gestión + ATP´s mujeres capacitadas y actualizadas para la gestión) / ATP´s programados para capacitar y actualizar para la gestión) *(0.25)] + [((Jefes de los SET´s hombres capacitados y actualizados para la gestión + Jefes de los SET´s mujeres capacitadas y actualizadas para la gestión) / Jefes de los SET´s programados para capacitar y actualizar para la gestión) *(0.25)] ]*100</t>
  </si>
  <si>
    <t>D 4 Adquisición, reparación o mantenimiento de mobiliario educacional base del Modelo de Telesecundaria en escuelas objeto de atención</t>
  </si>
  <si>
    <r>
      <t>Porcentaje de mobiliario Educacional (Televisiones HD y equipo de recepción satelital) adquirido, reparado o con manteamiento realizado.</t>
    </r>
    <r>
      <rPr>
        <i/>
        <sz val="10"/>
        <color indexed="30"/>
        <rFont val="Soberana Sans"/>
        <family val="3"/>
      </rPr>
      <t xml:space="preserve">
</t>
    </r>
  </si>
  <si>
    <t>(Mobiliario Educacional (Televisiones HD y equipo de recepción satelital) adquirido, reparado o con manteamiento realizado./ Total de mobiliario Educacional (Televisiones HD y equipo de recepción satelital) diagnosticado para ser adquirido, reparado o dar manteamiento)*100</t>
  </si>
  <si>
    <r>
      <t xml:space="preserve">Tasa de variación del logro alcanzado en Español de las escuelas telesecundarias objeto de atención.
</t>
    </r>
    <r>
      <rPr>
        <sz val="10"/>
        <rFont val="Soberana Sans"/>
        <family val="2"/>
      </rPr>
      <t xml:space="preserve"> Causa : Meta alcanzada valor negativo: -16.23%   Debido a que el indicador reporta meta alcanzada con signo negativo, para el cálculo del porcentaje de cumplimiento se aplicaron las fórmulas siguientes: (Numerador de la Meta Alcanzada/ Numerador de la Meta Aprobada) X 100;                  La Secretaría de Educación Pública estableció en el programa presupuestario S152 para el ejercicio 2013, el indicador estratégico Tasa de variación del logro alcanzado en Español de las escuelas telesecundarias objeto de atención, como un indicador de eficacia. Al cierre del año, en este indicador se reporta una meta alcanzada de -16.23%, con lo que se alcanzó un porcentaje de cumplimiento de 82.94%. Este comportamiento se explica principalmente por lo siguiente:    . La Dirección General de Materiales Educativos comenta que para la etapa de planeación correspondiente a 2013, no se contaba aún con los resultados de la prueba ENLACE, por lo que la meta establecida en este indicador se sustentó en la información del ejercicio anterior.         Efecto: Los beneficios económicos y sociales alcanzados con este indicador de fin, contribuyeron a:   . Atender el nivel de secundaria principalmente en las zonas rurales, mediante una metodología propia apoyada con materiales didácticos específicos, tanto impresos como televisivos.   .  De acuerdo a las estadísticas que emite la SEP, al inicio del Ciclo Escolar 2012-2013, el Servicio Educativo de Telesecundaria atiendió a 1,318,288 alumnos, que integran 74,705 grupos con 69,939 docentes en 18,386 escuelas.         Otros Motivos:</t>
    </r>
  </si>
  <si>
    <r>
      <t xml:space="preserve">Tasa de variación del logro alcanzado en Matemáticas de las escuelas telesecundarias objeto de atención.
</t>
    </r>
    <r>
      <rPr>
        <sz val="10"/>
        <rFont val="Soberana Sans"/>
        <family val="2"/>
      </rPr>
      <t xml:space="preserve"> Causa : La Secretaría de Educación Pública estableció en el programa presupuestario S152 para el ejercicio 2013, el indicador estratégico Tasa de variación del logro alcanzado en Matemáticas de las escuelas telesecundarias objeto de atención, como un indicador de eficacia. Al cierre del año, la meta de este indicador se ubicó en 3.73%, con lo que alcanzó un porcentaje de cumplimiento de 373.00%. Este comportamiento se explica principalmente por lo siguiente:   . La Dirección General de Materiales Educativos comenta que para la etapa de planeación correspondiente a 2013, no se contaba aún con los resultados de la prueba ENLACE, por lo que la meta establecida en este indicador se sustentó en la información del ejercicio anterior.       Efecto: Los beneficios económicos y sociales alcanzados con este indicador de fin, contribuyeron a:   . Atender el nivel de secundaria principalmente en las zonas rurales, mediante una metodología propia apoyada con materiales didácticos específicos, tanto impresos como televisivos.   . De acuerdo a las estadísticas que emite la SEP, al inicio del Ciclo Escolar 2012-2013, el Servicio Educativo de Telesecundaria atendió a 1,318,288 alumnos, que integran 74,705 grupos con 69,939 docentes en 18,386 escuelas.       Otros Motivos:</t>
    </r>
  </si>
  <si>
    <r>
      <t xml:space="preserve">Tasa de variación de las escuelas telesecundarias atendidas por el programa que han mejorado el logro educativo en Español en la prueba Enlace
</t>
    </r>
    <r>
      <rPr>
        <sz val="10"/>
        <rFont val="Soberana Sans"/>
        <family val="2"/>
      </rPr>
      <t xml:space="preserve"> Causa : En 2013 se tenían registradas 6,283 escuelas objeto de atención por lo que se programó una meta de 745 escuelas. Al cierre del cuarto trimestre se reporta que 2,201 escuelas aumentaron su logro a más de 80 en insuficiente y elemental en español en la prueba ENLACE por lo que se logró superar la meta en un 198.24%. Dicho aumento se ve reflejado en el alumnado ya que durante el 2012 y 2013 se apoyó a las entidades en equipamiento de mobiliario educacional, así como en capacitación a docentes supervisores. Efecto: Fortalecimiento del Servicio de la Educación Telesecundaria en 2013, considerando temas como la capacitación en el proceso pedagógico, así como de gestión (Docentes, Directivos, ATP´s), se dio prioridad principalmente a la realización de acciones de apoyo al rendimiento escolar de los estudiantes que atiende el programa con los cursos propedéuticos.    Con lo cual se alcanzaron diversos beneficios sociales que atienden el objetivo del Plan Nacional de Desarrollo de ampliar las capacidades para la vida de los estudiantes y docentes de Telesecundaria. Otros Motivos:</t>
    </r>
  </si>
  <si>
    <r>
      <t xml:space="preserve">Tasa de variación de las escuelas telesecundarias atendidas por el programa que han mejorado el logro educativo en Matemáticas en la prueba Enlace
</t>
    </r>
    <r>
      <rPr>
        <sz val="10"/>
        <rFont val="Soberana Sans"/>
        <family val="2"/>
      </rPr>
      <t xml:space="preserve"> Causa : En 2013 se tenían registradas 6,283 escuelas objeto de atención por lo que se programó una meta de 1, 212 escuelas. Al cierre del cuarto trimestre se reporta que 3,387 escuelas aumentaron su logro a más de 80% en insuficiente y elemental en matemáticas en la prueba ENLACE por lo que se logró superar la meta en un 182.25% del universo de cobertura. Dicho aumento se ve reflejado en el alumnado ya que durante el 2012 y 2013 se apoyó a los servicios educativos con equipamiento de mobiliario educacional, así como en capacitación a docentes y supervisores. Efecto: Las acciones anteriores permitieron el cumplimiento de los compromisos asumidos por el Programa para el Fortalecimiento del Servicio de la Educación Telesecundaria en 2013, considerando temas como la capacitación en el proceso pedagógico, así como de gestión (Docentes, Directivos, ATP´s), se dio prioridad principalmente a la realización de acciones de apoyo al rendimiento escolar de los estudiantes que atiende el programa con los cursos propedéuticos.    Con lo cual se alcanzaron diversos beneficios sociales que atienden el objetivo del Plan Nacional de Desarrollo de ampliar las capacidades para la vida de los estudiantes y docentes de Telesecundaria. Otros Motivos:</t>
    </r>
  </si>
  <si>
    <r>
      <t xml:space="preserve">Porcentaje de necesidades de capacitación y actualización atendidas.
</t>
    </r>
    <r>
      <rPr>
        <sz val="10"/>
        <rFont val="Soberana Sans"/>
        <family val="2"/>
      </rPr>
      <t xml:space="preserve"> Causa : Derivado del decreto del Sistema Nacional de Cruzada contra el Hambre, se tuvo la necesidad de reorientar los recursos y metas, para cumplir con el decreto presidencial. Por lo tanto este indicador no tiene avance, ya que no le fue asignado recurso para su ejecución. Efecto: Derivado del decreto del Sistema Nacional de Cruzada contra el Hambre, se tuvo la necesidad de reorientar los recursos y metas, para cumplir con el decreto presidencial. Por lo tanto este indicador no tiene avance, ya que no le fue asignado recurso para su ejecución. Otros Motivos:</t>
    </r>
  </si>
  <si>
    <r>
      <t xml:space="preserve">Variación en el índice de aprobación de alumnos de escuelas telesecundarias objeto de atención
</t>
    </r>
    <r>
      <rPr>
        <sz val="10"/>
        <rFont val="Soberana Sans"/>
        <family val="2"/>
      </rPr>
      <t xml:space="preserve"> Causa : Se cumplió y se superó la meta establecida para 2013. Efecto: De acuerdo a las Estadísticas de la Dirección General de Planeación y Programación el número de alumnos aprobados en el ciclo escolar 2012-2013 (Estadística más actual de fin de cursos), suman en todo el país 1,229,895 alumnos, lo que representa a casi el 97 por ciento de la población estudiantil de este modalidad educativa.     Con este dato se puede indicar que el programa ha fortalecido las acciones de apoyo al rendimiento escolar de este componente de atención del PFT. Otros Motivos:</t>
    </r>
  </si>
  <si>
    <r>
      <t xml:space="preserve">Porcentaje de necesidades de capacitación y actualización para la gestión atendidas
</t>
    </r>
    <r>
      <rPr>
        <sz val="10"/>
        <rFont val="Soberana Sans"/>
        <family val="2"/>
      </rPr>
      <t xml:space="preserve"> Causa : Derivado del decreto del Sistema Nacional de Cruzada contra el Hambre, se tuvo la necesidad de reorientar los recursos y metas, para cumplir con el decreto presidencial. Por lo tanto este indicador no tiene avance, ya que no le fue asignado recurso para su ejecución. Efecto: Derivado del decreto del Sistema Nacional de Cruzada contra el Hambre, se tuvo la necesidad de reorientar los recursos y metas, para cumplir con el decreto presidencial. Por lo tanto este indicador no tiene avance, ya que no le fue asignado recurso para su ejecución. Otros Motivos:</t>
    </r>
  </si>
  <si>
    <r>
      <t xml:space="preserve">Porcentaje de escuelas objeto de atención con mobiliario educacional actualizado
</t>
    </r>
    <r>
      <rPr>
        <sz val="10"/>
        <rFont val="Soberana Sans"/>
        <family val="2"/>
      </rPr>
      <t xml:space="preserve"> Causa : Al cierre del cuarto trimestre los servicios educativos reportaron la adquisición de 4,233 mobiliarios de las 5,963 escuelas objeto de atención, representando el 70.99% de avance respecto al Universo de Cobertura y 118.31% respecto a la meta. Las causas en las variaciones se deben a que existieron entidades que por la tardía ministración del recurso no pudieron realizar las gestiones correspondientes para la adquisicón del mobiliario en el ejercicio fiscal y reintegraron el recurso. Efecto: La actualización del mobiliario educacional responde al objetivo del Programa que se sustenta en la responsabilidad del sistema educativo mexicano de proveer, a sus docentes y alumnos, de herramientas útiles para garantizar el pleno desarrollo de sus capacidades, en el presente y para el futuro, estableciendo que una educación básica de calidad basada en el reconocimiento de la diversidad de contextos en los que se ofrece el Servicio Educativo, en la certeza de la corresponsabilidad de los niveles de operación y en el aprovechamiento de la capacidad de los equipos estatales para intervenir en la atención de sus problemáticas, así como Elevar el logro académico de los estudiantes de Telesecundaria a través de la mejora de los procesos de aprendizaje y gestión escolar y de la actualización del mobiliario educacional. Otros Motivos:</t>
    </r>
  </si>
  <si>
    <r>
      <t xml:space="preserve">Porcentaje de  docentes, directivos y ATP´s  capacitados y actualizados en el proceso de enseñanza
</t>
    </r>
    <r>
      <rPr>
        <sz val="10"/>
        <rFont val="Soberana Sans"/>
        <family val="2"/>
      </rPr>
      <t xml:space="preserve"> Causa : Se han capacitado y actualizado 4,061 docentes, directivos y ATP s, lo que representa el 66.52% de avance con respecto al universo de cobertura y el 83.15% respecto a la meta programada. Dichas cifras fueron obtenidas según lo reportado por las entidades al cierre de 2013 periodo en donde no se había realizado la captura de las cifras finales de las actividades por parte de los servicios educativos, esta cifra ha venido aumentando ya dichas instancias siguieron reportando datos después del cierre de ejercicio. Efecto: El PFT se propuso logar el siguiente objetivo en 2013: Contribuir a mejorar el logro educativo de los estudiantes de las telesecundarias objeto de atención, a través del fortalecimiento del servicio de telesecundaria.    Este gran objetivo se ha trabajado mediante el fortalecimiento de los procesos pedagógicos (enseñanza-aprendizaje), que involucran a la comunidad escolar de la telesecundaria, alumnos, docentes, directores y apoyos técnico pedagógicos. En este contexto, se realizó la formación de docentes, directivos y ATP´s de Telesecundaria en sus capacidades de enseñanza durante 2013.    El efecto socioeconómico de este logro, impacta en los docentes que recibieron los cursos, referentes a ámbitos pedagógicos del modelo de Telesecundaria, lo que se espera es que incida en la forma de enseñar a los estudiantes y también que los alumnos cuenten con profesores profesionales que dominen el modelo educativo de telesecundaria.    Así los docentes beneficiados podrán transmitir las estrategias aprendidas a los alumnos de la modalidad. Otros Motivos:</t>
    </r>
  </si>
  <si>
    <r>
      <t xml:space="preserve">Índice de Impacto de las estrategias de apoyo al rendimiento escolar de los alumnos de Telesecundaria
</t>
    </r>
    <r>
      <rPr>
        <sz val="10"/>
        <rFont val="Soberana Sans"/>
        <family val="2"/>
      </rPr>
      <t xml:space="preserve"> Causa : Al cierre del año los servicios educativos de Telesecundaria reportaron la atención de 37,301 alumnos,  lo cual representa el 73.69% respecto al Universo de Cobertura y 112.82% respecto a la meta. Dicha variación se debe a que existieron entidades que por gestiones administrativas propias del estado no realizaron el curso propedéutico. Efecto: El mejoramiento de la calidad de la educación básica es una demanda social y por ello, un compromiso y una prioridad del Gobierno Federal. El Estado Mexicano, por conducto de sus distintos niveles de gobierno es quien debe garantizar oportunidades de educación con calidad a todos los estudiantes, mediante la generación de condiciones para su óptimo aprovechamiento. La Telesecundaria es un servicio de educación básica, público y escolarizado, que ha atendido el nivel de secundaria principalmente en las zonas rurales, mediante una metodología propia apoyada con materiales didácticos específicos, tanto impresos como televisivos. El beneficio más importante es que 37,301 alumnos fueron atendidos con los cursos propedéuticos, dichas cifra fue obtenida según lo reportado por las entidades al cierre de 2013 periodo en donde no se había realizado la captura de las cifras finales de las actividades por parte de los servicios educativos. Otros Motivos:</t>
    </r>
  </si>
  <si>
    <r>
      <t xml:space="preserve">Porcentaje de docentes, directivos, ATP´s y Jefes de los SET´s capacitados y actualizados para la gestión escolar.
</t>
    </r>
    <r>
      <rPr>
        <sz val="10"/>
        <rFont val="Soberana Sans"/>
        <family val="2"/>
      </rPr>
      <t xml:space="preserve"> Causa : Al cierre del año los servicios educativos reportaron la capacitación de 2,239 directivos y supervisores lo que representa el 155.27% respecto al Universo de Cobertura. Las causas de la variación se debe a la eficiencia en el manejo de los recursos y la estrategia utilizada por la Coordinación Nacional. Efecto: Se ha trabajado mediante el fortalecimiento de los procesos pedagógicos (enseñanza-aprendizaje) y de gestión, que involucran a la comunidad escolar de la telesecundaria, alumnos, docentes, directores y apoyos técnico pedagógicos. En este contexto, se realizó la formación de docentes, directivos, ATP´s y Jefes de los SET´s de Telesecundaria en sus capacidades de enseñanza durante 2013.     La formación en este sentido, impacta en las capacidades de los docentes para obtener los recursos, materiales, humanos y económicos, que fortalezcan a la escuela telesecundaria. Otros Motivos:</t>
    </r>
  </si>
  <si>
    <r>
      <t xml:space="preserve">Porcentaje de mobiliario Educacional (Televisiones HD y equipo de recepción satelital) adquirido, reparado o con manteamiento realizado.
</t>
    </r>
    <r>
      <rPr>
        <sz val="10"/>
        <rFont val="Soberana Sans"/>
        <family val="2"/>
      </rPr>
      <t xml:space="preserve"> Causa : Al cierre del año los servicios educativos reportaron la adquisición de 4,233 mobiliario representando el 85.67% respecto al Universo de Cobertura. Efecto: La actualización del mobiliario educacional responde al objetivo del Programa que se sustenta en la responsabilidad del sistema educativo mexicano de proveer, a sus docentes y alumnos, de herramientas útiles para garantizar el pleno desarrollo de sus capacidades, en el presente y para el futuro, estableciendo que una educación básica de calidad basada en el reconocimiento de la diversidad de contextos en los que se ofrece el Servicio Educativo, en la certeza de la corresponsabilidad de los niveles de operación y en el aprovechamiento de la capacidad de los equipos estatales para intervenir en la atención de sus problemáticas, así como Elevar el logro académico de los estudiantes de Telesecundaria a través de la mejora de los procesos de aprendizaje y gestión escolar y de la actualización del mobiliario educacional. Otros Motivos:</t>
    </r>
  </si>
  <si>
    <t>S156</t>
  </si>
  <si>
    <t>Programa Beca de Apoyo a la Práctica Intensiva y al Servicio Social para Estudiantes de Séptimo y Octavo Semestres de Escuelas Normales Públicas</t>
  </si>
  <si>
    <t>Contribuir al proceso de formación  profesional de los futuros maestros de educación básica.</t>
  </si>
  <si>
    <r>
      <t>Resultado final del programa en el porcentaje de los alumnos que terminaron su formación respecto a los inscritos en las Escuelas Normales Públicas de 7mo y 8vo semestres.</t>
    </r>
    <r>
      <rPr>
        <i/>
        <sz val="10"/>
        <color indexed="30"/>
        <rFont val="Soberana Sans"/>
        <family val="3"/>
      </rPr>
      <t xml:space="preserve">
Indicador Seleccionado</t>
    </r>
  </si>
  <si>
    <t>R= (Alumnos que terminaron su formación en el ciclo escolar/No. Total de alumnos inscritos en el 7mo y 8vo semestres)*100</t>
  </si>
  <si>
    <t>Los alumnos de 7mo y 8vo semestres de las Escuelas Normales Públicas realizan sus prácticas docentes y servicio social.</t>
  </si>
  <si>
    <r>
      <t>Porcentaje de alumnos beneficiados que realizan su práctica docente en el ciclo escolar.</t>
    </r>
    <r>
      <rPr>
        <i/>
        <sz val="10"/>
        <color indexed="30"/>
        <rFont val="Soberana Sans"/>
        <family val="3"/>
      </rPr>
      <t xml:space="preserve">
</t>
    </r>
  </si>
  <si>
    <t>R= (Número de Alumnos que realizaron sus prácticas/Total de alumnos de 7mo y 8vo semestres beneficiados con apoyos económicos de las Escuelas Normales Públicas)*100</t>
  </si>
  <si>
    <t>A Apoyo económico entregado a los alumnos de 7mo y 8vo semestres de las escuelas Normales Públicas.</t>
  </si>
  <si>
    <r>
      <t>Monto de Apoyo económico otorgado a los alumnos.</t>
    </r>
    <r>
      <rPr>
        <i/>
        <sz val="10"/>
        <color indexed="30"/>
        <rFont val="Soberana Sans"/>
        <family val="3"/>
      </rPr>
      <t xml:space="preserve">
</t>
    </r>
  </si>
  <si>
    <t xml:space="preserve">(Monto del apoyo economico otorgado a los alumnos / recursos destinados al apoyo de los alumnos)*100 </t>
  </si>
  <si>
    <t>B Recursos federales para Escuelas Normales Públicas.</t>
  </si>
  <si>
    <r>
      <t>Porcentaje de cobertura de Escuelas Normales Públicas.</t>
    </r>
    <r>
      <rPr>
        <i/>
        <sz val="10"/>
        <color indexed="30"/>
        <rFont val="Soberana Sans"/>
        <family val="3"/>
      </rPr>
      <t xml:space="preserve">
</t>
    </r>
  </si>
  <si>
    <t>R= (Total de Escuelas Normales Públicas incorporadas al programa/Total de Escuelas Normales Públicas)*100</t>
  </si>
  <si>
    <t>A 1 Proyección: Recepción de solicitudes de las Entidades Federativas.</t>
  </si>
  <si>
    <r>
      <t>Porcentaje de solicitudes por entidad federativa respecto al total de las entidades federativas.</t>
    </r>
    <r>
      <rPr>
        <i/>
        <sz val="10"/>
        <color indexed="30"/>
        <rFont val="Soberana Sans"/>
        <family val="3"/>
      </rPr>
      <t xml:space="preserve">
</t>
    </r>
  </si>
  <si>
    <t>(Solicitudes de 4to y 6to semestres de las Escuelas Normales Públicas/ el total de los alumnos inscritos en 4to y 6to semestres)*100</t>
  </si>
  <si>
    <t>A 2 Integración y administración del padrón de beneficiarios del apoyo económico.</t>
  </si>
  <si>
    <r>
      <t>Integración de la matrícula programada respecto a la matrícula proyectada.</t>
    </r>
    <r>
      <rPr>
        <i/>
        <sz val="10"/>
        <color indexed="30"/>
        <rFont val="Soberana Sans"/>
        <family val="3"/>
      </rPr>
      <t xml:space="preserve">
</t>
    </r>
  </si>
  <si>
    <t>BA=(Alumnos inscritos en 7mo y 8vo semestres/Alumnos de 4to y 6to semestres para el programa anual) *100</t>
  </si>
  <si>
    <t>B 3 Realización del seguimiento a la operación del Programa.</t>
  </si>
  <si>
    <r>
      <t>Porcentaje de recursos entregados a las Escuelas Normales Públicas a tiempo.</t>
    </r>
    <r>
      <rPr>
        <i/>
        <sz val="10"/>
        <color indexed="30"/>
        <rFont val="Soberana Sans"/>
        <family val="3"/>
      </rPr>
      <t xml:space="preserve">
</t>
    </r>
  </si>
  <si>
    <t>(Apoyo económico entregado en tiempo/total de recursos entregados a las Escuelas Normales Públicas)*100</t>
  </si>
  <si>
    <t>B 4 Radicación de recursos a las entidades federativas y de estas a los beneficiarios.</t>
  </si>
  <si>
    <r>
      <t>Porcentaje de avance en la ejecución presupuestaria con respecto al pago de la beca.</t>
    </r>
    <r>
      <rPr>
        <i/>
        <sz val="10"/>
        <color indexed="30"/>
        <rFont val="Soberana Sans"/>
        <family val="3"/>
      </rPr>
      <t xml:space="preserve">
</t>
    </r>
  </si>
  <si>
    <t>R= (Recursos ejercidos en los estados /recursos programados )*100</t>
  </si>
  <si>
    <t>B 5 Rendición de cuentas a la ejecución del programa</t>
  </si>
  <si>
    <r>
      <t>Porcentaje de avance en la comprobación documental del gasto.</t>
    </r>
    <r>
      <rPr>
        <i/>
        <sz val="10"/>
        <color indexed="30"/>
        <rFont val="Soberana Sans"/>
        <family val="3"/>
      </rPr>
      <t xml:space="preserve">
</t>
    </r>
  </si>
  <si>
    <t>R= (Número de entidades federativas con comprobación documental del gasto/Número total de entidades federativas con recursos traspasados)*100</t>
  </si>
  <si>
    <r>
      <t xml:space="preserve">Resultado final del programa en el porcentaje de los alumnos que terminaron su formación respecto a los inscritos en las Escuelas Normales Públicas de 7mo y 8vo semestres.
</t>
    </r>
    <r>
      <rPr>
        <sz val="10"/>
        <rFont val="Soberana Sans"/>
        <family val="2"/>
      </rPr>
      <t xml:space="preserve"> Causa : La Secretaría de Educación Pública estableció en el programa presupuestario S156 para el ejercicio 2013, el indicador estratégico ¿Resultado final del programa en el porcentaje de los alumnos que terminaron su formación respecto a los inscritos en las Escuelas Normales Públicas de 7mo y 8vo semestres¿, como un indicador de eficacia. Al cierre del año, se logró apoyar 42,329 alumnos que terminaron su formación en el ciclo escolar, con lo que la meta de este indicador alcanzó un porcentaje de cumplimiento de 97.32% respecto de la meta programada. Este comportamiento se explica principalmente por lo siguiente:   . La Dirección General de Educación Superior para Profesionales de la Educación informa que en el 8° semestre se atendió a 20,217 de un universo de 43,495 alumnos de 8° y 7° semestres, ya que sólo los de 8° semestre son los que terminan sus prácticas. El resto, es decir los de 7° semestre continúan con sus prácticas y servicio social.    Efecto: Los beneficios económicos y sociales alcanzados con los resultados de este indicador de fin, contribuyeron a:   . En el 8vo semestre Enero-Junio de 2013 se atendió una matrícula de 20,217 alumnos becados, obteniendo así, hasta el mes de Junio un porcentaje de 46.2%, de avance en el año fiscal y de 100% en el semestre.    Otros Motivos:</t>
    </r>
  </si>
  <si>
    <r>
      <t xml:space="preserve">Porcentaje de alumnos beneficiados que realizan su práctica docente en el ciclo escolar.
</t>
    </r>
    <r>
      <rPr>
        <sz val="10"/>
        <rFont val="Soberana Sans"/>
        <family val="2"/>
      </rPr>
      <t xml:space="preserve"> Causa : La diferencia de lo programado con lo alcanzado se debe a los diferentes tipos de movimientos administrativos como baja temporal o baja definitiva. Efecto: Para el 8vo y 7mo semestres de 2013 se tenía como proyectado atender a 43,495 alumnos aspirantes a la beca, al cierre del 8vo semestre Ene-Jun, se concluyó con una matrícula de 20,217 alumnos becados, obteniendo así un porcentaje de 46.2% de avance en el año fiscal y de 100% en el semestre, en el 7mo semestre Sep-Dic, se atendieron a 22,112 alumnos logrando un porcentaje de 50.8% en el año fiscal y de 94.0% en el semestre. Otros Motivos:</t>
    </r>
  </si>
  <si>
    <r>
      <t xml:space="preserve">Monto de Apoyo económico otorgado a los alumnos.
</t>
    </r>
    <r>
      <rPr>
        <sz val="10"/>
        <rFont val="Soberana Sans"/>
        <family val="2"/>
      </rPr>
      <t xml:space="preserve"> Causa : La diferencia de lo programado con lo ejercido se debe a los diferentes tipos de movimientos administrativos como baja temporal o baja definitiva. Efecto: Para el 8vo y 7mo semestres de 2013 se tenía como programado un monto de 139,349,712.00 pesos, al cierre del 8vo semestre, se radicó un monto de 80,615,287.50 pesos, obteniendo así un porcentaje de 57.8% y para el 7mo semestre un monto de 56,109,200.00 cerrando el año con un porcentaje del 98.1% en el año fiscal. Otros Motivos:</t>
    </r>
  </si>
  <si>
    <r>
      <t xml:space="preserve">Porcentaje de cobertura de Escuelas Normales Públicas.
</t>
    </r>
    <r>
      <rPr>
        <sz val="10"/>
        <rFont val="Soberana Sans"/>
        <family val="2"/>
      </rPr>
      <t xml:space="preserve"> Causa : De un universo de 235 sólo se atendió a 234 ya que estas últimas estaban activas en el año fiscal 2013.  Es decir se atiende al 100% de las Escuelas Normales activas. Efecto: En el cierre del año fiscal 2013, se atendieron a 234 Escuelas Normales del País, de un universo de 235, obteniendo así un porcentaje de 99.5% de cobertura. Es decir se atiende al 100% de las Escuelas Normales activas.   Otros Motivos:</t>
    </r>
  </si>
  <si>
    <r>
      <t xml:space="preserve">Porcentaje de solicitudes por entidad federativa respecto al total de las entidades federativas.
</t>
    </r>
    <r>
      <rPr>
        <sz val="10"/>
        <rFont val="Soberana Sans"/>
        <family val="2"/>
      </rPr>
      <t xml:space="preserve"> Causa : Debido a los movimientos administrativos como son bajas temporales y bajas definitivas no se alcanzó la meta al 100% llegando sólo a cubrir el 97.3% de lo programado. Efecto: Para el 8vo y 7mo semestres de 2013 se proyectó una matrícula de 43,495 alumnos aspirantes a la beca, concluyendo dicho periodo con 42,329 becas, obteniendo así un porcentaje de 97.3% de avance en el cierre del año fiscal 2013.   Otros Motivos:</t>
    </r>
  </si>
  <si>
    <r>
      <t xml:space="preserve">Integración de la matrícula programada respecto a la matrícula proyectada.
</t>
    </r>
    <r>
      <rPr>
        <sz val="10"/>
        <rFont val="Soberana Sans"/>
        <family val="2"/>
      </rPr>
      <t xml:space="preserve"> Causa : Para el año fiscal 2013 se tenía como programado una matrícula de 43,495 alumnos aspirantes a la beca, de los cuales sólo se atendió a 42,329, la diferencia obedece a la depuración, actualización y validación de los registros de alumnos del SIBEN. Efecto: Para el año fiscal 2013 se tenia como programado una matrícula de 43,495 alumnos aspirantes a la beca, de los cuales, en el 8vo semestre Enero-Junio se atendió a 20,217 alumnos y para el 7mo semestre Septiembre-Diciembre, se becó a 22,112 que concluyeron el periodo, cerrando así el año con un porcentaje de 97.3% de apoyos otorgados. Otros Motivos:</t>
    </r>
  </si>
  <si>
    <r>
      <t xml:space="preserve">Porcentaje de recursos entregados a las Escuelas Normales Públicas a tiempo.
</t>
    </r>
    <r>
      <rPr>
        <sz val="10"/>
        <rFont val="Soberana Sans"/>
        <family val="2"/>
      </rPr>
      <t xml:space="preserve"> Causa : Se cubrió el 100% de los alumnos activos en el programa. Efecto: Para el 8° y 7° semestres Enero-Junio  y Septiembre-Diciembre de 2013, la radicación de los recursos ha concluido, cubriendo así el 100% en el año fiscal. Otros Motivos:</t>
    </r>
  </si>
  <si>
    <r>
      <t xml:space="preserve">Porcentaje de avance en la ejecución presupuestaria con respecto al pago de la beca.
</t>
    </r>
    <r>
      <rPr>
        <sz val="10"/>
        <rFont val="Soberana Sans"/>
        <family val="2"/>
      </rPr>
      <t xml:space="preserve"> Causa : Para el 8vo y 7mo semestres de 2013 se tenía como programado un monto de 139,349,712.00 pesos, finalizando el periodo con un ejercido de 136,724,487.50 pesos, debido a los ajustes, validación y actualización de las matriculas registradas en el SIBEN. Efecto: Para el 8vo y 7mo semestres de 2013 se tenía como proyectado un monto de 139,349,712.00 pesos, finalizando el periodo con un ejercido de 136,724,487.50 pesos, obteniendo un porcentaje del 98.1% en el año fiscal. Otros Motivos:</t>
    </r>
  </si>
  <si>
    <r>
      <t xml:space="preserve">Porcentaje de avance en la comprobación documental del gasto.
</t>
    </r>
    <r>
      <rPr>
        <sz val="10"/>
        <rFont val="Soberana Sans"/>
        <family val="2"/>
      </rPr>
      <t xml:space="preserve"> Causa : La diferencia entre lo programado y lo ejercido se debe a que las entidades federativas no envían sus reportes mensuales, es decir, la comprobación documental del gasto, debido al atraso en las ministraciones. Efecto: Para el 8vo semestre Enero-Junio de 2013 se concluyó el año con un avance de 78.1%, para el 7° semestre Septiembre-Diciembre del mismo año sólo se cuenta con un avance del 6.2% en la comprobación documental del gasto. Otros Motivos:</t>
    </r>
  </si>
  <si>
    <t>S204</t>
  </si>
  <si>
    <t>Cultura Física</t>
  </si>
  <si>
    <t>L6I-Comisión Nacional de Cultura Física y Deporte</t>
  </si>
  <si>
    <t>1 - Deporte y Recreación</t>
  </si>
  <si>
    <t>9 - Deporte</t>
  </si>
  <si>
    <t>Contribuir a crear una cultura de actividad física y deportiva, mediante programas que proporcionen hábitos de vida sana en la población mexicana.</t>
  </si>
  <si>
    <r>
      <t>Porcentaje de personas encuestadas, participantes en el Programa  Nacional de Cultura Física que lo califican favorable</t>
    </r>
    <r>
      <rPr>
        <i/>
        <sz val="10"/>
        <color indexed="30"/>
        <rFont val="Soberana Sans"/>
        <family val="3"/>
      </rPr>
      <t xml:space="preserve">
</t>
    </r>
  </si>
  <si>
    <t>(Numero total de personas encuestadas que califican  favorable el programa / Total de personas  encuestadas) * 100</t>
  </si>
  <si>
    <t>PERSONA ENCUESTADA</t>
  </si>
  <si>
    <t>La población mexicana realiza actividades físicas y deportivas de manera habitual y sistemática.</t>
  </si>
  <si>
    <r>
      <t>Porcentaje de atenciones brindadas a la población Mexicana en el Programa Cultura Física (en eventos multideportivos, activación física y centros deportivos.</t>
    </r>
    <r>
      <rPr>
        <i/>
        <sz val="10"/>
        <color indexed="30"/>
        <rFont val="Soberana Sans"/>
        <family val="3"/>
      </rPr>
      <t xml:space="preserve">
Indicador Seleccionado</t>
    </r>
  </si>
  <si>
    <t>(Número de atenciones brindadas en eventos deportivos, en activación física y en centros deportivos en el año n / Total de la población del país en el año n (101,808,216)*100</t>
  </si>
  <si>
    <t>A Número de Delegaciones y Municipios Activos, incorporados a la estrategia de activadores físicos.</t>
  </si>
  <si>
    <r>
      <t xml:space="preserve">Número de Delegaciones y Municipios Activos incorporados a la estrategia de activadores físicos. </t>
    </r>
    <r>
      <rPr>
        <i/>
        <sz val="10"/>
        <color indexed="30"/>
        <rFont val="Soberana Sans"/>
        <family val="3"/>
      </rPr>
      <t xml:space="preserve">
</t>
    </r>
  </si>
  <si>
    <t>Número de  delegaciones y municipios  activos en el año n / El número de delegaciones y municipios programados en el año n</t>
  </si>
  <si>
    <t>Persona Atendida</t>
  </si>
  <si>
    <t>B Centros del Deporte Escolar y Municipal apoyados para su operación con material deportivo, promoción difusión y mantenimiento básico por parte de la CONADE.</t>
  </si>
  <si>
    <r>
      <t>Porcentaje de crecimiento de centros del deporte escolares y municipales apoyados para su operación.</t>
    </r>
    <r>
      <rPr>
        <i/>
        <sz val="10"/>
        <color indexed="30"/>
        <rFont val="Soberana Sans"/>
        <family val="3"/>
      </rPr>
      <t xml:space="preserve">
</t>
    </r>
  </si>
  <si>
    <t>Centros del Deporte ya en operación y de nueva creación en el año n / Centros del Deporte Escolar y Municipal apoyados en el año 2008 (2000) X 100</t>
  </si>
  <si>
    <t>Centro en Operación</t>
  </si>
  <si>
    <t>C Estimulo a promotores deportivos escolares y municipales apoyados en los centros deportivos operando.</t>
  </si>
  <si>
    <r>
      <t>Estimulo a Promotores Deportivos Escolares y Municipales apoyados de los centros deportivos operando.</t>
    </r>
    <r>
      <rPr>
        <i/>
        <sz val="10"/>
        <color indexed="30"/>
        <rFont val="Soberana Sans"/>
        <family val="3"/>
      </rPr>
      <t xml:space="preserve">
</t>
    </r>
  </si>
  <si>
    <t>Numero total de Promotores Deportivos Escolares y Municipales  / número total de promotores Deportivos Escolares y Municipales * 100</t>
  </si>
  <si>
    <t>Promotor Beneficiado</t>
  </si>
  <si>
    <t>D Masificación de la actividad física a Nivel Nacional.</t>
  </si>
  <si>
    <r>
      <t xml:space="preserve"> Eventos Masivos en Activación Física (Masificación de la Activación Física a Nivel Nacional).</t>
    </r>
    <r>
      <rPr>
        <i/>
        <sz val="10"/>
        <color indexed="30"/>
        <rFont val="Soberana Sans"/>
        <family val="3"/>
      </rPr>
      <t xml:space="preserve">
</t>
    </r>
  </si>
  <si>
    <t>(Número de atenciones en Eventos Masivos del año N / número de atenciones en Eventos Masivos del año N -1)*100</t>
  </si>
  <si>
    <t>A 1 Atenciones brindas en eventos multideportivos.</t>
  </si>
  <si>
    <r>
      <t>Atenciones brindadas en eventos multideportivos</t>
    </r>
    <r>
      <rPr>
        <i/>
        <sz val="10"/>
        <color indexed="30"/>
        <rFont val="Soberana Sans"/>
        <family val="3"/>
      </rPr>
      <t xml:space="preserve">
</t>
    </r>
  </si>
  <si>
    <t>Personas atendidas en eventos multideportivos en el año N.</t>
  </si>
  <si>
    <t xml:space="preserve">Persona atendida </t>
  </si>
  <si>
    <t>B 2 Masificación de la Activación Física a Nivel Nacional.</t>
  </si>
  <si>
    <r>
      <t>Promotores incorporados en Activación Física.</t>
    </r>
    <r>
      <rPr>
        <i/>
        <sz val="10"/>
        <color indexed="30"/>
        <rFont val="Soberana Sans"/>
        <family val="3"/>
      </rPr>
      <t xml:space="preserve">
</t>
    </r>
  </si>
  <si>
    <t>Número total de Promotores incorporados en el año N  / los Promotores programados en el año N) * 100.</t>
  </si>
  <si>
    <t>Promotor en Operación</t>
  </si>
  <si>
    <r>
      <t xml:space="preserve">Porcentaje de personas encuestadas, participantes en el Programa  Nacional de Cultura Física que lo califican favorable
</t>
    </r>
    <r>
      <rPr>
        <sz val="10"/>
        <rFont val="Soberana Sans"/>
        <family val="2"/>
      </rPr>
      <t xml:space="preserve"> Causa : La meta programada no fue alcanzada, debido a la reestructuración del Programa Cultura Física, sin embargo ahora se podrá contar con un padrón de participantes (nombre, curp, sexo, edad, domicilio, datos médicos, etc.), lo que reflejara una estadística real y confiable de las personas atendidas.  Derivado de los resultados  obtenidos de la aplicación del Programa Cultura Física, durante los últimos 6 años y de acuerdo a la evaluación emitida por CONEVAL, en donde establece que ¿no es posible identificar el efecto del programa en la población ya que no se cuenta con indicadores válidos¿, es decir; no se tienen registros de personas y sus características que permitan medir el impacto y magnitud de los daños y los beneficios de las estrategias en la población participante, lo que trajo como consecuencia ineludible que la Subdirección General de Cultura Física se viera en la imperiosa necesidad de reestructurar las estrategias del Programa.  En el presente sexenio, fue necesario realizar un exhaustivo análisis para transformar el programa anterior cuantitativo, a uno cualitativo.   Es por ello, que la Matriz de Marco Lógico 2013 del Programa Cultura Física realizo un rediseño de los indicadores de resultados, y de la metodología de cuantificación de la población, alineados a las nuevas estrategias, dicho indicador ya no aplica para los nuevos fines. Efecto: Con el cambio de las estrategias, se brindó una atención de forma individualizada con el fin de Contribuir al desarrollo de una Cultura Física en la población a fin de disminuir el sedentarismo, y las conductas antisociales, mediante actividades físicas y deportivas, así también se apoyó al 45% de los municipios en su reordenamiento deportivo, o que dio como resultado una franja más amplia de deportistas integrados al deporte de representación.  Otros Motivos:</t>
    </r>
  </si>
  <si>
    <r>
      <t xml:space="preserve">Porcentaje de atenciones brindadas a la población Mexicana en el Programa Cultura Física (en eventos multideportivos, activación física y centros deportivos.
</t>
    </r>
    <r>
      <rPr>
        <sz val="10"/>
        <rFont val="Soberana Sans"/>
        <family val="2"/>
      </rPr>
      <t xml:space="preserve"> Causa : La Secretaría de Educación Pública a través de la Comisión Nacional de Cultura Física y Deporte estableció para 2013 el indicador estratégico Porcentaje de atenciones brindadas a la población Mexicana en el Programa de Cultura Física (en eventos multideportivos, activación física y centros deportivos) a fin de atender con eficiencia a la población mexicana en este programa. Al final del ejercicio, se observó un porcentaje de cumplimiento del 27.77% respecto a lo programado. Este comportamiento se explica principalmente por lo siguiente:   .  El incumplimiento de la meta de este indicador obedece a la reestructuración del Programa Cultura Física.  No obstante, como resultado de la nueva estrategia implementada se posibilitará el poder contar con un padrón de participantes (nombre, CURP, sexo, edad, domicilio, datos médicos, etc.), lo que reflejará una estadística real y confiable de las personas atendidas.    Efecto: Los beneficios económicos y sociales alcanzados con los resultados de este indicador de propósito, contribuyeron a:   . Brindar una atención de forma individualizada con el fin de Contribuir al desarrollo de una Cultura Física en la población a fin de disminuir el sedentarismo, y las conductas antisociales, mediante actividades físicas y deportivas.   . Se apoyó al 45% de los municipios en su reordenamiento deportivo, lo que dio como resultado una franja más amplia de deportistas integrados al deporte de representación.    Otros Motivos:</t>
    </r>
  </si>
  <si>
    <r>
      <t xml:space="preserve">Número de Delegaciones y Municipios Activos incorporados a la estrategia de activadores físicos. 
</t>
    </r>
    <r>
      <rPr>
        <sz val="10"/>
        <rFont val="Soberana Sans"/>
        <family val="2"/>
      </rPr>
      <t xml:space="preserve"> Causa : La meta programada no fue alcanzada, debido a la reestructuración del Programa Cultura Física, sin embargo ahora se podrá contar con un padrón de participantes (nombre, curp, sexo, edad, domicilio, datos médicos, etc.), lo que reflejara una estadística real y confiable de las personas atendidas.  Derivado de los resultados  obtenidos de la aplicación del Programa Cultura Física, durante los últimos 6 años y de acuerdo a la evaluación emitida por CONEVAL, en donde establece que ¿no es posible identificar el efecto del programa en la población ya que no se cuenta con indicadores válidos¿, es decir; no se tienen registros de personas y sus características que permitan medir el impacto y magnitud de los daños y los beneficios de las estrategias en la población participante, lo que trajo como consecuencia ineludible que la Subdirección General de Cultura Física se viera en la imperiosa necesidad de reestructurar las estrategias del Programa.  En el presente sexenio, fue necesario realizar un exhaustivo análisis para transformar el programa anterior cuantitativo, a uno cualitativo.   Es por ello, que la Matriz de Marco Lógico 2013 del Programa Cultura Física realizo un rediseño de los indicadores de resultados, y de la metodología de cuantificación de la población, alineados a las nuevas estrategias, dicho indicador ya no aplica para los nuevos fines. Efecto: Con el cambio de las estrategias, se brindó una atención de forma individualizada con el fin de Contribuir al desarrollo de una Cultura Física en la población a fin de disminuir el sedentarismo, y las conductas antisociales, mediante actividades físicas y deportivas, así también se establecieron a nivel nacional, los centros  de evaluación de la capacidad funcional conformado con equipos multidisciplinarios por Entidad (coordinador  estatal, coordinador técnico y apoyo médico), lo que dio como resultados dar una atención de forma individualizada a la población evaluada, de igual forma la población obtuvo en tiempo real su recomendación de actividad física y orientación nutricional. Otros Motivos:</t>
    </r>
  </si>
  <si>
    <r>
      <t xml:space="preserve">Porcentaje de crecimiento de centros del deporte escolares y municipales apoyados para su operación.
</t>
    </r>
    <r>
      <rPr>
        <sz val="10"/>
        <rFont val="Soberana Sans"/>
        <family val="2"/>
      </rPr>
      <t xml:space="preserve"> Causa : La meta programada no fue alcanzada, debido a la reestructuración del Programa Cultura Física, sin embargo ahora se podrá contar con un padrón de participantes (nombre, curp, sexo, edad, domicilio, datos médicos, etc.), lo que reflejara una estadística real y confiable de las personas atendidas.  Derivado de los resultados  obtenidos de la aplicación del Programa Cultura Física, durante los últimos 6 años y de acuerdo a la evaluación emitida por CONEVAL, en donde establece que ¿no es posible identificar el efecto del programa en la población ya que no se cuenta con indicadores válidos¿, es decir; no se tienen registros de personas y sus características que permitan medir el impacto y magnitud de los daños y los beneficios de las estrategias en la población participante, lo que trajo como consecuencia ineludible que la Subdirección General de Cultura Física se viera en la imperiosa necesidad de reestructurar las estrategias del Programa.  En el presente sexenio, fue necesario realizar un exhaustivo análisis para transformar el programa anterior cuantitativo, a uno cualitativo.   Es por ello, que la Matriz de Marco Lógico 2013 del Programa Cultura Física realizo un rediseño de los indicadores de resultados, y de la metodología de cuantificación de la población, alineados a las nuevas estrategias, dicho indicador ya no aplica para los nuevos fines. Efecto: Con el cambio de las estrategias, se brindó una atención de forma individualizada con el fin de Contribuir al desarrollo de una Cultura Física en la población a fin de disminuir el sedentarismo, y las conductas antisociales, mediante actividades físicas y deportivas, así también se apoyó al 45% de los municipios en su reordenamiento deportivo, o que dio como resultado una franja más amplia de deportistas integrados al deporte de representación, con la incorporación de 3 mil ligas oficiales municipales protocolizadas y más de mil ligas deportivas escolares en donde se están aplicando evaluaciones de talentos deportivos.  Otros Motivos:</t>
    </r>
  </si>
  <si>
    <r>
      <t xml:space="preserve">Estimulo a Promotores Deportivos Escolares y Municipales apoyados de los centros deportivos operando.
</t>
    </r>
    <r>
      <rPr>
        <sz val="10"/>
        <rFont val="Soberana Sans"/>
        <family val="2"/>
      </rPr>
      <t xml:space="preserve"> Causa : La meta programada no fue alcanzada, debido a la reestructuración del Programa Cultura Física, sin embargo ahora se podrá contar con un padrón de participantes (nombre, curp, sexo, edad, domicilio, datos médicos, etc.), lo que reflejara una estadística real y confiable de las personas atendidas.  Derivado de los resultados  obtenidos de la aplicación del Programa Cultura Física, durante los últimos 6 años y de acuerdo a la evaluación emitida por CONEVAL, en donde establece que ¿no es posible identificar el efecto del programa en la población ya que no se cuenta con indicadores válidos¿, es decir; no se tienen registros de personas y sus características que permitan medir el impacto y magnitud de los daños y los beneficios de las estrategias en la población participante, lo que trajo como consecuencia ineludible que la Subdirección General de Cultura Física se viera en la imperiosa necesidad de reestructurar las estrategias del Programa.  En el presente sexenio, fue necesario realizar un exhaustivo análisis para transformar el programa anterior cuantitativo, a uno cualitativo.   Es por ello, que la Matriz de Marco Lógico 2013 del Programa Cultura Física realizo un rediseño de los indicadores de resultados, y de la metodología de cuantificación de la población, alineados a las nuevas estrategias, dicho indicador ya no aplica para los nuevos fines. Efecto: Con el cambio de las estrategias, se brindó una atención de forma individualizada con el fin de Contribuir al desarrollo de una Cultura Física en la población a fin de disminuir el sedentarismo, y las conductas antisociales, mediante actividades físicas y deportivas, así también se apoyó al 45% de los municipios en su reordenamiento deportivo, o que dio como resultado una franja más amplia de deportistas integrados al deporte de representación, con la incorporación de 3 mil ligas oficiales municipales protocolizadas y más de mil ligas deportivas escolares en donde se están aplicando evaluaciones de talentos deportivos. Otros Motivos:</t>
    </r>
  </si>
  <si>
    <r>
      <t xml:space="preserve"> Eventos Masivos en Activación Física (Masificación de la Activación Física a Nivel Nacional).
</t>
    </r>
    <r>
      <rPr>
        <sz val="10"/>
        <rFont val="Soberana Sans"/>
        <family val="2"/>
      </rPr>
      <t xml:space="preserve"> Causa : La meta programada no fue alcanzada, debido a la reestructuración del Programa Cultura Física, sin embargo ahora se podrá contar con un padrón de participantes (nombre, curp, sexo, edad, domicilio, datos médicos, etc.), lo que reflejara una estadística real y confiable de las personas atendidas.  Derivado de los resultados  obtenidos de la aplicación del Programa Cultura Física, durante los últimos 6 años y de acuerdo a la evaluación emitida por CONEVAL, en donde establece que ¿no es posible identificar el efecto del programa en la población ya que no se cuenta con indicadores válidos¿, es decir; no se tienen registros de personas y sus características que permitan medir el impacto y magnitud de los daños y los beneficios de las estrategias en la población participante, lo que trajo como consecuencia ineludible que la Subdirección General de Cultura Física se viera en la imperiosa necesidad de reestructurar las estrategias del Programa.  En el presente sexenio, fue necesario realizar un exhaustivo análisis para transformar el programa anterior cuantitativo, a uno cualitativo.   Es por ello, que la Matriz de Marco Lógico 2013 del Programa Cultura Física realizo un rediseño de los indicadores de resultados, y de la metodología de cuantificación de la población, alineados a las nuevas estrategias, dicho indicador ya no aplica para los nuevos fines. Efecto: Con el cambio de las estrategias, se brindó una atención de forma individualizada con el fin de Contribuir al desarrollo de una Cultura Física en la población a fin de disminuir el sedentarismo, y las conductas antisociales, mediante actividades físicas y deportivas, así también se establecieron a nivel nacional, los centros  de evaluación de la capacidad funcional conformado con equipos multidisciplinarios por Entidad (coordinador  estatal, coordinador técnico y apoyo médico), lo que dio como resultados dar una atención de forma individualizada a la población evaluada, de igual forma la población obtuvo en tiempo real su recomendación de actividad física y orientación nutricional. Otros Motivos:</t>
    </r>
  </si>
  <si>
    <r>
      <t xml:space="preserve">Atenciones brindadas en eventos multideportivos
</t>
    </r>
    <r>
      <rPr>
        <sz val="10"/>
        <rFont val="Soberana Sans"/>
        <family val="2"/>
      </rPr>
      <t xml:space="preserve"> Causa : La meta programada no fue alcanzada, derivado a las modificaciones que se realizaron en las diferentes categorías deportivas de las disciplinas que se convocaron en los eventos, así como los ajustes que tuvieron que hacer los beneficiarios en sus procesos clasificatorios, para cumplir con lo establecido en las convocatorias de los eventos deportivos.  Durante el año 2013, la Dirección de Eventos Deportivos Nacionales y Selectivos organizó siete eventos deportivos a nivel nacional y participó en uno a nivel internacional en Armenia, Colombia. Derivado de lo anterior, se informa que al mes de diciembre se obtuvo una participación de 4¿317,383 es decir un 4.06% por debajo de la meta programada que era de 4¿500,000.   Lo anterior y derivado a las modificaciones que se realizaron en las diferentes categorías deportivas de las disciplinas que se convocaron en los eventos, así como los ajustes que tuvieron que hacer los Órganos Estatales del Deporte en sus procesos clasificatorios con la intención de cumplir con lo establecido en las convocatorias de los eventos deportivos convocados.  Los Órganos Estatales del Deporte de las Entidades Federativas, son los responsables de  reportar la participación que se tiene en cada uno de los eventos, por lo tanto la meta que se está reportando es en base a reportes generados por los Órganos Estatales, mismos que tienen numéricas bajas en relación a años anteriores, impactando directamente al cumplimiento de la meta que se tenía programada para el año 2013. Efecto: Se brindó una mejor calidad en los servicio a los participantes de los 7 eventos realizados durante el año, cabe señalar que se impactó a la población atendida entre los 8 y 23 años, a través de la participación de los eventos denominados Olimpiada y Paralimpiada Nacional, Juegos Deportivos Nacionales Escolares de nivel primaria, Juegos Deportivos Nacionales de la Educación Media Superior, Juegos Deportivos Escolares Centroamericanos y del Caribe. Asimismo, con los Juegos Populares (chavos bandas), se integró a los jóvenes que viven en colonias con alto índice de violencia y problemas sociales, con el objetivo de disminuir dichas conductas, mediante el deporte. En lo que respecta al encuentro nacional de juegos y deportes autóctonos y tradicionales, se logró captar a una mayor población de zonas rurales y autóctonas, con la finalidad de promover y dar a conocer los juegos que se realizaban en el pasado y no dejar perder estas costumbres de nuestro México. En el encuentro nacional deportivo indígena, se convoca a comunidades indígenas de los diferentes estados del país, lo que contribuye a desarrollar y fortalecer el deporte en todos los sectores de la población. Otros Motivos:</t>
    </r>
  </si>
  <si>
    <r>
      <t xml:space="preserve">Promotores incorporados en Activación Física.
</t>
    </r>
    <r>
      <rPr>
        <sz val="10"/>
        <rFont val="Soberana Sans"/>
        <family val="2"/>
      </rPr>
      <t xml:space="preserve"> Causa : La meta programada no fue alcanzada, debido a la reestructuración del Programa Cultura Física, sin embargo ahora se podrá contar con un padrón de participantes (nombre, curp, sexo, edad, domicilio, datos médicos, etc.), lo que reflejara una estadística real y confiable de las personas atendidas.  Derivado de los resultados  obtenidos de la aplicación del Programa Cultura Física, durante los últimos 6 años y de acuerdo a la evaluación emitida por CONEVAL, en donde establece que ¿no es posible identificar el efecto del programa en la población ya que no se cuenta con indicadores válidos¿, es decir; no se tienen registros de personas y sus características que permitan medir el impacto y magnitud de los daños y los beneficios de las estrategias en la población participante, lo que trajo como consecuencia ineludible que la Subdirección General de Cultura Física se viera en la imperiosa necesidad de reestructurar las estrategias del Programa.  En el presente sexenio, fue necesario realizar un exhaustivo análisis para transformar el programa anterior cuantitativo, a uno cualitativo.   Es por ello, que la Matriz de Marco Lógico 2013 del Programa Cultura Física realizo un rediseño de los indicadores de resultados, y de la metodología de cuantificación de la población, alineados a las nuevas estrategias, dicho indicador ya no aplica para los nuevos fines. Efecto: Con el cambio de las estrategias, se brindó una atención de forma individualizada con el fin de Contribuir al desarrollo de una Cultura Física en la población a fin de disminuir el sedentarismo, y las conductas antisociales, mediante actividades físicas y deportivas, así también se establecieron a nivel nacional, los centros  de evaluación de la capacidad funcional conformado con equipos multidisciplinarios por Entidad (coordinador  estatal, coordinador técnico y apoyo médico), lo que dio como resultados dar una atención de forma individualizada a la población evaluada, de igual forma la población obtuvo en tiempo real su recomendación de actividad física y orientación nutricional. Otros Motivos:</t>
    </r>
  </si>
  <si>
    <t>S205</t>
  </si>
  <si>
    <t>Deporte</t>
  </si>
  <si>
    <t>Contribuir al fomento de la practica del Deporte en la población mexicana a través de la operación de los proyectos del Programa Deporte que ejecutan los miembros del SINADE</t>
  </si>
  <si>
    <r>
      <t>Porcentaje de población beneficiada con proyectos del Programa Deporte</t>
    </r>
    <r>
      <rPr>
        <i/>
        <sz val="10"/>
        <color indexed="30"/>
        <rFont val="Soberana Sans"/>
        <family val="3"/>
      </rPr>
      <t xml:space="preserve">
</t>
    </r>
  </si>
  <si>
    <t>(Población beneficiada en el año t/ Población estimada en el año t) X 100</t>
  </si>
  <si>
    <t xml:space="preserve">Población Participante Atendida </t>
  </si>
  <si>
    <t>Los organismos miembros del SINADE (Sistema Nacional de Cultura Física y Deporte) participan en los proyectos del Programa Deporte</t>
  </si>
  <si>
    <r>
      <t>Porcentaje de Organismos miembros del SINADE apoyados con recursos económicos.</t>
    </r>
    <r>
      <rPr>
        <i/>
        <sz val="10"/>
        <color indexed="30"/>
        <rFont val="Soberana Sans"/>
        <family val="3"/>
      </rPr>
      <t xml:space="preserve">
Indicador Seleccionado</t>
    </r>
  </si>
  <si>
    <t>(Organismos Miembros del SINADE apoyados económicamente en el año t / Total de miembros del SINADE  en el año t) X 100</t>
  </si>
  <si>
    <t>Organismo Apoyado</t>
  </si>
  <si>
    <t>A Apoyos económicos para la Coordinación Interinstitucional y el desarrollo de los proyectos del Programa Deporte.</t>
  </si>
  <si>
    <r>
      <t xml:space="preserve">Promedio de apoyos económicos del programa deporte transferido a entidades federativas, organismos e instituciones miembros del SINADE.  </t>
    </r>
    <r>
      <rPr>
        <i/>
        <sz val="10"/>
        <color indexed="30"/>
        <rFont val="Soberana Sans"/>
        <family val="3"/>
      </rPr>
      <t xml:space="preserve">
</t>
    </r>
  </si>
  <si>
    <t>(monto total de apoyos económicos transferidos a miembros del SINADE en el año t) /  (Población potencial integrada por los miembros del SINADE en el año t)</t>
  </si>
  <si>
    <t>Apoyo Económico Otorgado</t>
  </si>
  <si>
    <t>Gestión-Economía-Anual</t>
  </si>
  <si>
    <t>B Centros Estatales de Información y Documentación de Cultura Física y Deporte, apoyados que alcanzan la categoría de nivel alto</t>
  </si>
  <si>
    <r>
      <t>Tasa de crecimiento de Centros Estatales de Información y Documentación de Cultura Física y Deporte</t>
    </r>
    <r>
      <rPr>
        <i/>
        <sz val="10"/>
        <color indexed="30"/>
        <rFont val="Soberana Sans"/>
        <family val="3"/>
      </rPr>
      <t xml:space="preserve">
</t>
    </r>
  </si>
  <si>
    <t>[(Número de CEID de Nivel Alto en el año n apoyados / Número de CEID de Nivel Alto apoyados en el año n-1)-1]*100</t>
  </si>
  <si>
    <t>CEID Acreditado</t>
  </si>
  <si>
    <t>C Apoyos económicos a Entidades Federativas para la formación, capacitación y certificación de especialistas en el deporte</t>
  </si>
  <si>
    <r>
      <t>Porcentaje de Entidades Federativas y organismos afines apoyadas económicamente para la formación, capacitación y certificación de especialistas en el deporte en el año T</t>
    </r>
    <r>
      <rPr>
        <i/>
        <sz val="10"/>
        <color indexed="30"/>
        <rFont val="Soberana Sans"/>
        <family val="3"/>
      </rPr>
      <t xml:space="preserve">
</t>
    </r>
  </si>
  <si>
    <t>(Entidades Federativas y organismos afines apoyados para la formación, capacitación y certificación de especialistas en el deporte /  Total de Entidades Federativas y organismos afines miembros del SINADE) * 100</t>
  </si>
  <si>
    <t>Entidad Apoyada</t>
  </si>
  <si>
    <t>A 1 Apoyo a las Entidades Federativas para el desarrollo de la Infraestructura Deportiva</t>
  </si>
  <si>
    <r>
      <t>Porcentaje de entidades miembros del SINADE apoyadas en materia de infraestructura deportiva en el año t.</t>
    </r>
    <r>
      <rPr>
        <i/>
        <sz val="10"/>
        <color indexed="30"/>
        <rFont val="Soberana Sans"/>
        <family val="3"/>
      </rPr>
      <t xml:space="preserve">
</t>
    </r>
  </si>
  <si>
    <t>(Número de entidades miembros del SINADE apoyados en materia de infraestructura deportiva / Total de Entidades miembros del SINADE ) X 100</t>
  </si>
  <si>
    <t>A 2 Acuerdos específicos adoptados en el SINADE que refuercen las políticas y estrategías para el fortalecicimento de los Programas de la CONADE</t>
  </si>
  <si>
    <r>
      <t>Porcentaje de acuerdos adoptados durante las Sesiones del SINADE que refuercen las políticas y estrategias para el fortalecimiento de los programas de CONADE.</t>
    </r>
    <r>
      <rPr>
        <i/>
        <sz val="10"/>
        <color indexed="30"/>
        <rFont val="Soberana Sans"/>
        <family val="3"/>
      </rPr>
      <t xml:space="preserve">
</t>
    </r>
  </si>
  <si>
    <t>(Número de acuerdos que llevan tareas de seguimiento adoptados en el año t / Total de acuerdos realizados durante las sesiones del SINADE en el año t) X 100</t>
  </si>
  <si>
    <t>Acuerdo Gestionado</t>
  </si>
  <si>
    <t>A 3 Asociaciones Deportivas Nacionales no Olimpicas y Organismos afines que reciben apoyos específicos para el fortalecimiento del desarrollo del Deporte y la Cultura Física</t>
  </si>
  <si>
    <r>
      <t>Porcentaje de asociaciones deportivas nacionales no Olímpicas y Organismos Afines apoyados con recursos del Programa Deporte en el año t</t>
    </r>
    <r>
      <rPr>
        <i/>
        <sz val="10"/>
        <color indexed="30"/>
        <rFont val="Soberana Sans"/>
        <family val="3"/>
      </rPr>
      <t xml:space="preserve">
</t>
    </r>
  </si>
  <si>
    <t>(Número de asociaciones deportivas nacionales no Olímpicas y Organismos afines apoyados / Total de asociaciones deportivas nacionales no Olímpicas y Organismos afines) * 100</t>
  </si>
  <si>
    <t>Asociación Atendida</t>
  </si>
  <si>
    <t>B 4 Centros Estatales de Información y Documentación de Cultura Física y Deporte operando según el manual de administración vigente</t>
  </si>
  <si>
    <r>
      <t>Porcentaje de Centros Estatales de Información y Documentación de Cultura Física y Deporte operando según guía de administración CEID en el año t</t>
    </r>
    <r>
      <rPr>
        <i/>
        <sz val="10"/>
        <color indexed="30"/>
        <rFont val="Soberana Sans"/>
        <family val="3"/>
      </rPr>
      <t xml:space="preserve">
</t>
    </r>
  </si>
  <si>
    <t>(Número de Centros Estatatales de Información y Documentación de Cultura Física y Deporte operando según guia de administración vigente  / Total de CEID)*100</t>
  </si>
  <si>
    <t xml:space="preserve">C 5 Verificar la correcta aplicación del apoyo económico a Entidades Federativas para la formación, capacitación y certificación de especialistas en el deporte </t>
  </si>
  <si>
    <r>
      <t xml:space="preserve">Porcentaje de Entidades que aplicaron correctamente el apoyo Económico otorgado para la formación, capacitación y certificación de especialistas en el deporte </t>
    </r>
    <r>
      <rPr>
        <i/>
        <sz val="10"/>
        <color indexed="30"/>
        <rFont val="Soberana Sans"/>
        <family val="3"/>
      </rPr>
      <t xml:space="preserve">
</t>
    </r>
  </si>
  <si>
    <t>(Entidades Federativas apoyadas para la formación, capacitación y certificación de especialistas en el deporte / Entidades que aplicaron correctamente el apoyo económico otorgado) *100</t>
  </si>
  <si>
    <t>Entidad que aplicó correctamente el recurso</t>
  </si>
  <si>
    <r>
      <t xml:space="preserve">Porcentaje de población beneficiada con proyectos del Programa Deporte
</t>
    </r>
    <r>
      <rPr>
        <sz val="10"/>
        <rFont val="Soberana Sans"/>
        <family val="2"/>
      </rPr>
      <t xml:space="preserve"> Causa : Al cierre de 2013, se ha apoyado a los miembros del SINADE. CODE Jalisco para los eventos de ciclismo de pista y ruta así como para el XCIII Campeonato Nacional de Atletismo en Jalisco. Comisión para la Juventud y el Deporte de Quintana Roo ¿Campeonato FIBA Américas U16 Femenino 2013 de Baloncesto¿. Coordinación del Sistema de Desarrollo Policial de la Policía Federal, para la aplicación de una serie de batería de pruebas en 27 Entidades Federativas y el Distrito Federal para la promoción de grados de poco más de 11 mil 500 elementos de la Policía Federal en todo el País, incluido el Distrito Federal. Federación Nacional de Ajedrez de México para la realización del LIX Campeonato Nacional Abierto 2013. Por otra parte, la Escuela Nacional de Entrenadores Deportivos, reportó el egreso de 72 alumnos de la Licenciatura en Entrenamiento Deportivo (LED), y la atención de 284 alumnos que actualmente están cursando la LED (tránsito académico); el egreso de 18 alumnos de la Maestría en Ciencias del Deporte (MCD), así como la inscripción de 79 alumnos de posgrado en la MCD (tránsito académico). Además, se certificaron 7,463 entrenadores y árbitros mediante el Sistema de Capacitación y Certificación en el Deporte (SICCEDeporte), en toda la República. En total se cuenta con 26,874 beneficiados con los proyectos del programa Deporte, a excepción de Infraestructura deportiva.  Por otro lado, el área de infraestructura deportiva aportó las cifras gruesas para complementar el dato con la población beneficiada estimada que forma parte de las carátulas económicas de sus expedientes técnicos en materia de infraestructura deportiva estatal. En este sentido, se reporta una población beneficiada de 9¿210,956 personas con los diferentes proyectos de infraestructura deportiva. En suma son en total 9´237,830 las personas beneficiadas con los diferentes proyectos del Programa Deporte.  Efecto: Con las cifras reportadas por Infraestructura Deportiva, se incrementó notablemente la población beneficiada por las estimaciones reflejadas en los proyectos económicos de las diferentes obras de infraestructura deportiva municipal; el impacto social por ende, se ve mayormente beneficiado. Otros Motivos:</t>
    </r>
  </si>
  <si>
    <r>
      <t xml:space="preserve">Porcentaje de Organismos miembros del SINADE apoyados con recursos económicos.
</t>
    </r>
    <r>
      <rPr>
        <sz val="10"/>
        <rFont val="Soberana Sans"/>
        <family val="2"/>
      </rPr>
      <t xml:space="preserve"> Causa : La Secretaría de Educación Pública a través de la CONADE estableció para 2013 el indicador estratégico Porcentaje de Organismos miembros del SINADE apoyados con recursos económicos a fin de atender con eficiencia a los Organismos miembros del SINADE. Al final del ejercicio, se observó un porcentaje de cumplimiento del 102.63% respecto a la meta programada. Este comportamiento se explica principalmente por lo siguiente:El aumento de este indicador obedece a que se atendieron a 24 Asociaciones Deportivas Nacionales, a saber: Actividades Subacuáticas, Aeronáutica, Aikido, Ajedrez, Automovilismo Deportivo, Baile y Danza Deportiva, Charrería, Deportes de Montaña y Escalada, Físicoconstructivismo y Fitness, Fútbol Americano, Fútbol Rápido, Hockey sobre Hielo, Jiu Jitsu, Juegos y Deportes Autóctonos y Tradicionales, Kendo, Medicina del Deporte, Motonáuticas, Panathlón International, Polo, Porristas y Grupos de Animación Deportiva, Quiropráctica Deportiva y Wushu, además de la Confederación Deportiva Mexicana, del Consejo Nacional del Deporte de la Educación y de 35 Entidades (Federativas y Deportivas): Aguascalientes, Baja California, Baja California Sur, Campeche, Coahuila, Colima, Chiapas, Chihuahua, Distrito Federal, Durango, Guanajuato, Guerrero, Hidalgo, Jalisco, México, Michoacán, Morelos, Nayarit, Nuevo León, Oaxaca, Puebla, Querétaro, Quintana Roo, San Luis Potosí, Sinaloa, Sonora, Tabasco, Tamaulipas, Tlaxcala, Veracruz, Yucatán, Zacatecas, la UNAM, el IMSS y el IPN.  Por otro lado se atendió la inscripción de 19 Asociaciones Deportivas Nacionales al sistema de Registro Nacional de Cultura Física y Deporte (RENADE), con lo cual se cumplió con el total programado. Adicional a esto, se atendieron a otras 30 Asociaciones Deportivas Nacionales de clasificación Olímpica, para su inscripción en el RENADE para hacerse susceptibles de recibir apoyos económicos por la CONADE y cumplir con la normatividad federal establecida en la materia       Efecto: Los beneficios económicos y sociales alcanzados con los resultados de este indicador de propósito, contribuyeron a:      . Fomentar la práctica del Deporte en la población mexicana a través de la operación de los proyectos del Programa Deporte que ejecutan los miembros del SINADE.      . La oportuna y adecuada atención a las demandas ciudadanas por parte de la Secretaría de Educación Pública a través de la Comisión nacional de Cultura Física.       Otros Motivos:</t>
    </r>
  </si>
  <si>
    <r>
      <t xml:space="preserve">Promedio de apoyos económicos del programa deporte transferido a entidades federativas, organismos e instituciones miembros del SINADE.  
</t>
    </r>
    <r>
      <rPr>
        <sz val="10"/>
        <rFont val="Soberana Sans"/>
        <family val="2"/>
      </rPr>
      <t xml:space="preserve"> Causa : Al cierre de diciembre se han gestionado apoyos para 24 Asociaciones Deportivas Nacionales, Actividades Subacuáticas, Aeronáutica, Aikido, Ajedrez, Automovilismo Deportivo, Baile y Danza Deportiva, Charrería, Deportes de Montaña y Escalada, Físicoconstructivismo y Fitness, Fútbol Americano, Fútbol Rápido, Hockey sobre Hielo, Jiu Jitsu, Juegos y Deportes Autóctonos y Tradicionales, Kendo, Medicina del Deporte, Motonáuticas, Panathlón International, Polo, Porristas y Grupos de Animación Deportiva, Quiropráctica Deportiva y Wushu, además de la Confederación Deportiva Mexicana y del Consejo Nacional del Deporte de la Educación.  También se han apoyado a los 32 Institutos Estatales del Deporte, la UNAM, el IMSS y el IPN.  Al cierre del ejercicio fiscal el porcentaje estimado de apoyos con recursos económicos a 59 organismos e instituciones miembros del SINADE, así como a 63 Municipios, ascendió a $5¿881,454.00, sustentado en montos importantes en materia de apoyo a proyectos de: Infraestructura Deportiva Estatal, Centros Estatales de Información y Documentación, SICCED Diplomados y Maestrías, Apoyo a Asociaciones Deportivas Nacionales y Planeación y Coordinación del SINADE. El incremento se presenta como esperado en virtud de que se dejó la cifra de $5¿000,000.00 como base toda vez que así se planteó desde el ejercicio fiscal 2008, además de que los montos autorizados podrían variar en cada ejercicio fiscal.  Cabe Señalar que los montos correspondientes a Infraestructura Deportiva Municipal, cuyos recursos formaron parte del Presupuesto de Egresos de la Federación y que son etiquetados directamente por el H. Cuerpo Legislativo, no fueron tomados en consideración, en virtud de ser asignaciones cinco veces mayor que el total de recursos ejercidos en el 2013 ($717¿537,458.09). Efecto: La meta se cumplió toda vez que se otorgaron apoyos a Entidades Federativas y Deportivas, Asociaciones Deportivas Nacionales y a los Consejos Nacionales del Deporte Estudiantil de niveles Básico y Superior, además de quienes se inscribieron por primera vez en el RENADE y con ello se hicieron susceptibles de recibir apoyos económicos con recursos federales. Otros Motivos:</t>
    </r>
  </si>
  <si>
    <r>
      <t xml:space="preserve">Tasa de crecimiento de Centros Estatales de Información y Documentación de Cultura Física y Deporte
</t>
    </r>
    <r>
      <rPr>
        <sz val="10"/>
        <rFont val="Soberana Sans"/>
        <family val="2"/>
      </rPr>
      <t xml:space="preserve"> Causa : En coordinación con los representantes de los Institutos del Deporte o su equivalente, se encuentran en operación 34 Centros instalados en los Institutos del Deporte o su equivalente. Con el propósito de impulsar el programa y colocarlos en un nivel alto como lo establece la Guía de Administración de CEID, se llevan a cabo actividades que coadyuven a lograr ese objetivo, en los Institutos Estatales del Deporte o su equivalente, actualización de claves de acceso a los Sistemas del Censo Nacional de Infraestructura Deportiva, Registro Nacional de Cultura Física y Deporte (RENADE) y Sistema Informático de Gestión Documental (CNID). se está llevando a cabo, a través de esta Unidad Administrativa, la automatización de procesos de comprobación de recursos federales que asignan diferentes áreas de esta Comisión Nacional a diversos beneficiarios del ámbito deportivo.Con el objeto de alinear el objetivo de los Centros Estatales de Información y Documentación de Cultura Física y Deporte (CEID) con el Objetivo 2.4 del Eje Rector 2 Desarrollo del Deporte, se establecen parámetros de control y seguimiento a los CEID que corresponden a tres distintas escalas: * Bajo, es un nivel de centro estatal que simplemente contiene algún elemento básico tal como espacio físico asignado y alguien designado como titular;* Medio, corresponde a centros estatales que cuentan con lo mínimo indispensable para su operación y que además llevan a cabo funciones adicionales, pero sin ser éstas sobresalientes y; * Alto, corresponde a centros estatales perfectamente establecidos que han logrado una continuidad dentro de las actividades y programas, logrando resultados satisfactorios, su infraestructura y recursos humanos están bien establecidos.   Para el cierre del ejercicio fiscal 2013, el universo de entidades que recibieron recursos federales fue de 34; el Instituto Politécnico Nacional y Guerrero no recibieron recursos debido a que presentaban adeudos de ejercicios fiscales anteriores. Efecto: Al cumplir la meta al 100% se cuenta con un sistema a nivel nacional que permite administrar información en materia de Cultura Física y Deporte de un modo eficiente a través de herramientas tecnológicas, por lo que la población dispone de las Tecnologías de Información y Comunicaciones, como parte de la sociedad de la información.  Se ha cerrado el año en cuestión de indicadores alcanzando la meta anual programada de un crecimiento del 4.17% en referencia al año fiscal 2012, alcanzando un valor absoluto de 25 Centros operando en nivel alto conforme a lo descrito en las Reglas de Operación del Programa Deporte.  La infraestructura y recursos humanos están bien establecidos, logrando con esto una continuidad para un desarrollo constante del centro, permitiendo el incremento especializado de recursos tanto informáticos como de telecomunicaciones para poder llevar a cabo las actividades establecidas entre el CNID y el referido CEID. Otros Motivos:</t>
    </r>
  </si>
  <si>
    <r>
      <t xml:space="preserve">Porcentaje de Entidades Federativas y organismos afines apoyadas económicamente para la formación, capacitación y certificación de especialistas en el deporte en el año T
</t>
    </r>
    <r>
      <rPr>
        <sz val="10"/>
        <rFont val="Soberana Sans"/>
        <family val="2"/>
      </rPr>
      <t xml:space="preserve"> Causa : Se superó la meta programada de 32 entidades federativas apoyadas para la formación, capacitación y certificación de especialistas en el deporte debido a que una institución más comprobó la totalidad del recurso otorgado del 2013, lo que generó un porcentale de cumplimiento del indicador de 103.13% Efecto: En virtud de que se apoyo a más instituciones se logró beneficiar a un total de 9,439 especialistas del deporte para que se actualizaran o capacitaran en diferentes disciplinas deportivas de diferentes entidades deportivas. Otros Motivos:</t>
    </r>
  </si>
  <si>
    <r>
      <t xml:space="preserve">Porcentaje de entidades miembros del SINADE apoyadas en materia de infraestructura deportiva en el año t.
</t>
    </r>
    <r>
      <rPr>
        <sz val="10"/>
        <rFont val="Soberana Sans"/>
        <family val="2"/>
      </rPr>
      <t xml:space="preserve"> Causa : Se tenían programado apoyar a 16 miembros del SINADE de los 35 existentes, pero a lo largo del año el apoyo se dio a las 32 Entidades Federativas miembros del SINADE de todo el país, con recursos de Infraestructura Deportiva del ejercicio fiscal 2013, los cuales son los siguientes: Aguascalientes, Baja California, Baja California Sur, Campeche, Coahuila, Colima, Chiapas, Chihuahua, Distrito Federal, Durango, Guanajuato, Guerrero, Hidalgo, Jalisco, México, Michoacán, Morelos, Nayarit, Nuevo León, Oaxaca, Puebla, Querétaro, Quintana Roo, San Luis Potosí, Sinaloa, Sonora, Tabasco, Tamaulipas, Tlaxcala, Veracruz, Yucatán y Zacatecas. Al duplicar el número de entidades programadas se tuvo como consecuencia un beneficio a nivel nacional tanto a Estados y Municipios. Efecto: Derivados de los recursos otorgados se logró apoyar en materia de infraestructura deportiva a 32 Entidades Federativas miembros del SINADE, con lo cual se realizaron obras y equipamiento deportivo, cumpliendo con los objetivos de este Programa, con una mayor cobertura de población beneficiada. Otros Motivos:</t>
    </r>
  </si>
  <si>
    <r>
      <t xml:space="preserve">Porcentaje de acuerdos adoptados durante las Sesiones del SINADE que refuercen las políticas y estrategias para el fortalecimiento de los programas de CONADE.
</t>
    </r>
    <r>
      <rPr>
        <sz val="10"/>
        <rFont val="Soberana Sans"/>
        <family val="2"/>
      </rPr>
      <t xml:space="preserve"> Causa : En sesiones se abordaron los compromisos gubernamentales encomendados por la Presidencia de la República a la CONADE para su atención, así como temas relacionados con la situación del baloncesto, censo nacional de instalaciones deportivas (INEGI  CONADE), Comité Paralímpico Mexicano, XXII Juegos Deportivos Centroamericanos y del Caribe "Veracruz 2014, Turismo Deportivo, Programa Nacional ¿Ponte al 100¿, seguimiento de actividades del Laboratorio Nacional de Prevención y Control del Dopaje de la CONADE y entrega de Reconocimientos especiales a la SEDENA y al IMSS por su contribución al desarrollo del deporte de alto rendimiento y del deporte popular, respectivamente. Al período se trabajaron 19 acuerdos específicos durante las cuatro sesiones del Consejo Directivo y la primera del Pleno del SINADE. Respecto al Porcentaje de acuerdos adoptados durante las Sesiones del SINADE que refuercen las políticas y estrategias para el fortalecimiento de los programas de CONADE, es pertinente resaltar que aunque el universo de cobertura es de 20 acuerdos adoptados que totalizan el 100 por ciento de la meta. En virtud de que el número de acuerdos adoptados por el SINADE es irregular, toda vez que éstos responden a los compromisos institucionales, políticas y estrategias que se establecen como parte de los asuntos a tratar. Estos son sujetos de un análisis específico y técnico que es comentado entre vocales, especialistas e invitados especiales a las sesiones y una vez que se obtiene una propuesta o alternativa para su implantación, es que se genera el acuerdo o se traduce en recomendaciones concretas. Es imposible poder establecer un cálculo de cuántos acuerdos podrán generarse en cada sesión, toda vez que éstos dependen del criterio y de la intención que institucionalmente convenga al desarrollo del deporte y la cultura física del País. En el caso del año 2013, se plantearon 19 acuerdos en total de cinco sesiones del SINADE, cuatro de ellas del Consejo Directivo y una del Pleno. Efecto: Con los 19 acuerdos adoptados al cierre de diciembre, se lograron sentar las bases de coordinación interinstitucional entre los miembros del SINADE en favor de las políticas y estrategias en materia de Cultura Física y Deporte, cumpliendo con el objetivo de este Programa. Otros Motivos:</t>
    </r>
  </si>
  <si>
    <r>
      <t xml:space="preserve">Porcentaje de asociaciones deportivas nacionales no Olímpicas y Organismos Afines apoyados con recursos del Programa Deporte en el año t
</t>
    </r>
    <r>
      <rPr>
        <sz val="10"/>
        <rFont val="Soberana Sans"/>
        <family val="2"/>
      </rPr>
      <t xml:space="preserve"> Causa : Al cierre de diciembre, de las 38 federaciones deportivas nacionales no olímpicas y organismos afines a las cuales atiende el área, se gestionaron apoyos para 24 Asociaciones Deportivas Nacionales que se encuentran debidamente registradas en el RENADE y fueron susceptibles de recibir apoyos con recursos federales, además de la Confederación Deportiva Mexicana y del Consejo Nacional del Deporte de la Educación.  Se estima que con el citado resultado, la meta esperada se ha cubierto con los apoyos gestionados, de conformidad con el universo de cobertura del indicador. El incremento se debe a los apoyos financieros otorgados a la CODEME y al CONDDE.  Porcentaje de asociaciones deportivas nacionales no Olímpicas y Organismos Afines apoyados con recursos del Programa Deporte; el incremento se debió principalmente al registro conseguido por las Federaciones Deportivas Nacionales de Automovilismo Deportivo y la de Porristas y Grupos de Animación Deportiva. Por otro lado, se otorgaron apoyos a la Confederación Deportiva Mexicana y del Consejo Nacional del Deporte de la Educación, organismos que el primero, por Ley General de Cultura Física y Deporte (DOF, Junio 7, 2013), dejó de ser considerado como miembro del SINADE, a partir de su publicación y el segundo, a partir del 2013, pasó a formar parte de los organismos apoyados por el Programa de Alto Rendimiento. Aunque el universo de cobertura señala que son 22 organismos que forman parte del 100%, es hasta el cierre del 2013 que se cuenta ya con el total previsto desde su programación, cifra que se mantendrá como alcanzable para el 2014.  Al cierre del 2013 se atendió la inscripción de 66 Asociaciones Deportivas Nacionales, de las cuales 34 son Olímpicas, 4 Paralímpicas y 28 No Olímpicas al sistema de Registro Nacional de Cultura Física y Deporte (RENADE), para hacerse susceptibles de recibir apoyos económicos por la CONADE Efecto: Al atender a un número mayor de Asociaciones Deportivas Nacionales se logra dar una mayor cobertura a los proyectos y programas en materia de Cultura Física y Deporte, ampliándose los márgenes de promoción y desarrollo del deporte y la cultura física en beneficio de un mayor número de personas que se suman a los programas y proyectos de la CONADE. Otros Motivos:</t>
    </r>
  </si>
  <si>
    <r>
      <t xml:space="preserve">Porcentaje de Centros Estatales de Información y Documentación de Cultura Física y Deporte operando según guía de administración CEID en el año t
</t>
    </r>
    <r>
      <rPr>
        <sz val="10"/>
        <rFont val="Soberana Sans"/>
        <family val="2"/>
      </rPr>
      <t xml:space="preserve"> Causa : Se remitieron las claves de usuario y contraseña designadas al área financiera o administrativa de los institutos del deporte o equivalente, con el objeto de que cuenten con el acceso al Sistema Informático de Gestión Documental (Sistema CNID), perfil de Finanzas CEID, y de esta manera estén en posibilidad de realizar las actividades que les permitan comprobar los recursos recibidos para la operación del proyecto en mención durante el ejercicio fiscal 2013.  Se le da seguimiento, en coordinación con las Entidades Federativas y Deportivas, a los trabajos de planeación y captura del Plan Anual a través del Sistema Informático de Gestión Documental (Sistema CNID).  De forma simultanea se han llevado a cabo acciones de asesoría telefónica y por correo electrónico, capacitación personalizada al personal de los Institutos, actualización de claves de acceso a los sistemas de Censo Nacional de Infraestructura Deportiva, Registro Nacional de Cultura Física y Deporte (RENADE) y Sistema Informático de Gestión Documental (CNID). Efecto: Al superar ligeramente la meta positivamente, se cuenta con un sistema a nivel nacional que permite administrar información en materia de Cultura Física y Deporte de un modo eficiente a través de herramientas tecnológicas, por lo que la población dispone de las TIC, como parte de la sociedad de la información. Otros Motivos:</t>
    </r>
  </si>
  <si>
    <r>
      <t xml:space="preserve">Porcentaje de Entidades que aplicaron correctamente el apoyo Económico otorgado para la formación, capacitación y certificación de especialistas en el deporte 
</t>
    </r>
    <r>
      <rPr>
        <sz val="10"/>
        <rFont val="Soberana Sans"/>
        <family val="2"/>
      </rPr>
      <t xml:space="preserve"> Causa : Se cumplió la meta programada para la verificación de la comprobación aplicada a 32 entidades, no obstante  el apoyo económico se otorgo a 33 entidades federativas que comprobaron el recurso  ministrado de 2013 para la formación, capacitación y certificación de especialistas en el deporte logrando así superar la meta programada en 10%, y un porcentaje de cumpplimiento de 110.01%. Efecto: Al superar la meta programada se tiene como efecto una mayor cobertura en la preparación de especialistas en el deporte, lo que propiciara  que los jóvenes deportistas cuenten con entrenadores mejor preparados que brinden una mejor preparación  de calidad. Otros Motivos:</t>
    </r>
  </si>
  <si>
    <t>S206</t>
  </si>
  <si>
    <t>Sistema Mexicano del Deporte de Alto Rendimiento</t>
  </si>
  <si>
    <t>Contribuir a mejorar los resultados deportivos en competencias fundamentales del ciclo olímpico 2008 -2012, a través de la atención proporcionada a los atletas de alto rendimiento.</t>
  </si>
  <si>
    <r>
      <t>Cambio en los resultados obtenidos en competencias fundamentales del ciclo olímpico en turno con respecto a las competencias fundamentales del ciclo olímpico inmediato anterior.</t>
    </r>
    <r>
      <rPr>
        <i/>
        <sz val="10"/>
        <color indexed="30"/>
        <rFont val="Soberana Sans"/>
        <family val="3"/>
      </rPr>
      <t xml:space="preserve">
</t>
    </r>
  </si>
  <si>
    <t>Suma ponderada de medallas obtenidas en la competencia fundamental en el año Ta / Suma ponderada de medallas obtenidas en la competencia fundamental en el año T-3</t>
  </si>
  <si>
    <t>Logro Alcanzado</t>
  </si>
  <si>
    <t>Número de deportistas nacionales de alto rendimiento que participan en justas deportivas y se ubican dentro de los primeros16 lugares principalmente en Campeonatos Mundiales.</t>
  </si>
  <si>
    <r>
      <t>Porcentaje de deportistas nacionales ubicados dentro de los 16 primeros lugares principalmente en Campeonatos Mundiales en el año n (Juveniles y 1a. Fuerza).</t>
    </r>
    <r>
      <rPr>
        <i/>
        <sz val="10"/>
        <color indexed="30"/>
        <rFont val="Soberana Sans"/>
        <family val="3"/>
      </rPr>
      <t xml:space="preserve">
</t>
    </r>
  </si>
  <si>
    <t>(Deportistas Nacionales que lograron ubicarse dentro de los 16 primeros lugares en Campeonatos Mundiales en el año n) / (Deportistas Nacionales programados a ubicarse dentro de los 16 primeros lugares en Campeonatos Mundiales en el año n) X 100</t>
  </si>
  <si>
    <t>Atleta Apoyado</t>
  </si>
  <si>
    <t>A Apoyos integrales otorgados. (Eventos, campamentos, concentraciones, material y vestuario deportivo, entrenadores)</t>
  </si>
  <si>
    <r>
      <t>Porcentaje de deportistas beneficiados con apoyos integrales en el año n</t>
    </r>
    <r>
      <rPr>
        <i/>
        <sz val="10"/>
        <color indexed="30"/>
        <rFont val="Soberana Sans"/>
        <family val="3"/>
      </rPr>
      <t xml:space="preserve">
</t>
    </r>
  </si>
  <si>
    <t xml:space="preserve">(Deportistas apoyados en el año n / Deportistas propuestos por las Asociaciones Deportivas en el año n) X 100  </t>
  </si>
  <si>
    <t>Deportista Beneficiado</t>
  </si>
  <si>
    <t>B Programa de becas a deportistas</t>
  </si>
  <si>
    <r>
      <t>Becas otorgadas a deportistas</t>
    </r>
    <r>
      <rPr>
        <i/>
        <sz val="10"/>
        <color indexed="30"/>
        <rFont val="Soberana Sans"/>
        <family val="3"/>
      </rPr>
      <t xml:space="preserve">
Indicador Seleccionado</t>
    </r>
  </si>
  <si>
    <t>[(Número de becas acumuladas al periodo (n) + número de becas que cumplieron con los lineamientos establecidos para el otorgamiento en el periodo (n)) / Número de becas otorgadas en el mismo periodo del año anterior (n-1)] X 100</t>
  </si>
  <si>
    <t>C Programa de Talentos Deportivos.</t>
  </si>
  <si>
    <r>
      <t>Porcentaje de Atletas atendido en el Programa de Talentos Deportivos en el año n</t>
    </r>
    <r>
      <rPr>
        <i/>
        <sz val="10"/>
        <color indexed="30"/>
        <rFont val="Soberana Sans"/>
        <family val="3"/>
      </rPr>
      <t xml:space="preserve">
</t>
    </r>
  </si>
  <si>
    <t>(Atleta atendido en el Programa de Talentos Deportivos en el año n) / (Atleta propuesto para ser apoyado en el Programa de Talentos Deportivos en el año n) X 100</t>
  </si>
  <si>
    <t>Deportista Atendido</t>
  </si>
  <si>
    <t>D Programa de Reserva Nacional.</t>
  </si>
  <si>
    <r>
      <t>Porcentaje de Atletas atendidos en el Programa de Reserva Nacional en el año n</t>
    </r>
    <r>
      <rPr>
        <i/>
        <sz val="10"/>
        <color indexed="30"/>
        <rFont val="Soberana Sans"/>
        <family val="3"/>
      </rPr>
      <t xml:space="preserve">
</t>
    </r>
  </si>
  <si>
    <t xml:space="preserve">(Atleta atendido en el Programa de Reserva Nacional en el año n) / (Atleta propuesto para ser apoyado en el Programa de Reserva Nacional en el año n) X 100 </t>
  </si>
  <si>
    <t>A 1 Signar instrumentos jurídicos para coordinar la ejecución precisa de los programas de trabajo de las Asociaciones Deportivas Nacionales.</t>
  </si>
  <si>
    <r>
      <t>Porcentaje de convenios signados en tiempo y forma en el año n</t>
    </r>
    <r>
      <rPr>
        <i/>
        <sz val="10"/>
        <color indexed="30"/>
        <rFont val="Soberana Sans"/>
        <family val="3"/>
      </rPr>
      <t xml:space="preserve">
</t>
    </r>
  </si>
  <si>
    <t>(Número de convenios signados en el año n / el número de Asociaciones Deportivas Nacionales susceptibles de recibir apoyos en el año n) X 100</t>
  </si>
  <si>
    <t>Convenio Firmado</t>
  </si>
  <si>
    <t xml:space="preserve">B 2 Análisis de las propuestas de beca para deportistas, que cumplen con los requisitos establecidos. </t>
  </si>
  <si>
    <r>
      <t>Recepción y análisis de propuestas para beca.</t>
    </r>
    <r>
      <rPr>
        <i/>
        <sz val="10"/>
        <color indexed="30"/>
        <rFont val="Soberana Sans"/>
        <family val="3"/>
      </rPr>
      <t xml:space="preserve">
</t>
    </r>
  </si>
  <si>
    <t>[(número de propuestas acumuladas al periodo (n) + número de propuestas que cumplieron con los lineamientos establecidos para el otorgamiento en el periodo (n)) / número de propuestas otorgadas en el mismo periodo del año anterior (n-1)] X 100</t>
  </si>
  <si>
    <t>Propuesta de Beca</t>
  </si>
  <si>
    <t>C 3 Conocer el porcentaje de Institutos Estatales del Deporte y Entidades Deportivas, que en tiempo y forma cumplen con la entrega de sus propuestas.</t>
  </si>
  <si>
    <r>
      <t>Porcentaje de propuestas recibidas y apoyadas en tiempo y forma</t>
    </r>
    <r>
      <rPr>
        <i/>
        <sz val="10"/>
        <color indexed="30"/>
        <rFont val="Soberana Sans"/>
        <family val="3"/>
      </rPr>
      <t xml:space="preserve">
</t>
    </r>
  </si>
  <si>
    <t>(Número de propuestas enviadas por los Institutos Estatales del Deporte y Entidades Deportivas en el año n) / (Número de propuestas recibidas y apoyadas en tiempo y forma en el año n) X100</t>
  </si>
  <si>
    <t>Propuesta Evaluada</t>
  </si>
  <si>
    <t>C 4 Evaluar los resultados obtenidos de los entrenadores asignados a los Programas de Talentos Deportivos y Reserva Nacional.</t>
  </si>
  <si>
    <r>
      <t>Porcentaje de evaluaciones de los resultados de los entrenadores del Programa en el año n</t>
    </r>
    <r>
      <rPr>
        <i/>
        <sz val="10"/>
        <color indexed="30"/>
        <rFont val="Soberana Sans"/>
        <family val="3"/>
      </rPr>
      <t xml:space="preserve">
</t>
    </r>
  </si>
  <si>
    <t>(Evaluaciones analizadas en el año n) / (Evaluaciones recibidas en tiempo y forma en el año n) X 100</t>
  </si>
  <si>
    <t>Evaluación Efectuada</t>
  </si>
  <si>
    <r>
      <t xml:space="preserve">Cambio en los resultados obtenidos en competencias fundamentales del ciclo olímpico en turno con respecto a las competencias fundamentales del ciclo olímpico inmediato anterior.
</t>
    </r>
    <r>
      <rPr>
        <sz val="10"/>
        <rFont val="Soberana Sans"/>
        <family val="2"/>
      </rPr>
      <t xml:space="preserve"> Causa : La CONADE manifiesta mediante correo electrónico que solicitó el cambio del indicador y metas presupuestarias; por tal motivo ya no reportó avances de dicho indicador;  esta área no cuenta con la evidencia documental sobre el cambio. Efecto: La CONADE manifiesta mediante correo electrónico que solicitó el cambio del indicador y metas presupuestarias; por tal motivo ya no reportó avances de dicho indicador;  esta área no cuenta con la evidencia documental sobre el cambio. Otros Motivos:</t>
    </r>
  </si>
  <si>
    <r>
      <t xml:space="preserve">Porcentaje de deportistas nacionales ubicados dentro de los 16 primeros lugares principalmente en Campeonatos Mundiales en el año n (Juveniles y 1a. Fuerza).
</t>
    </r>
    <r>
      <rPr>
        <sz val="10"/>
        <rFont val="Soberana Sans"/>
        <family val="2"/>
      </rPr>
      <t xml:space="preserve"> Causa : La CONADE manifiesta mediante correo electrónico que solicitó el cambio del indicador y metas presupuestarias; por tal motivo ya no reportó avances de dicho indicador;  esta área no cuenta con la evidencia documental sobre el cambio. Efecto: La CONADE manifiesta mediante correo electrónico que solicitó el cambio del indicador y metas presupuestarias; por tal motivo ya no reportó avances de dicho indicador;  esta área no cuenta con la evidencia documental sobre el cambio. Otros Motivos:</t>
    </r>
  </si>
  <si>
    <r>
      <t xml:space="preserve">Porcentaje de deportistas beneficiados con apoyos integrales en el año n
</t>
    </r>
    <r>
      <rPr>
        <sz val="10"/>
        <rFont val="Soberana Sans"/>
        <family val="2"/>
      </rPr>
      <t xml:space="preserve"> Causa : La meta cumplida obedece al apoyo entregado de manera oportuna a las Asociaciones Deportivas Nacionales, para la aplicación de sus programas de preparación y competencias, orientados a la participación de los preseleccionados y seleccionados nacionales de categoría juvenil en eventos internacionales. Efecto: El contar con los recursos en tiempo y forma permitió cumplir con la meta, lo que garantizó la continuidad de los programas de trabajo, y coadyuvo a mejorar los resultados deportivos obtenidos en las justas deportivas consideradas del ciclo olímpico y paralímpico. Estas condiciones contribuyeron a que los deportistas de alto rendimiento desarrollaran una vida saludable. Otros Motivos:</t>
    </r>
  </si>
  <si>
    <r>
      <t xml:space="preserve">Becas otorgadas a deportistas
</t>
    </r>
    <r>
      <rPr>
        <sz val="10"/>
        <rFont val="Soberana Sans"/>
        <family val="2"/>
      </rPr>
      <t xml:space="preserve"> Causa : La Secretaría de Educación Pública a través de la Comisión Nacional de Cultura Física y Deporte estableció para 2013 el indicador de gestión ¿Becas otorgadas a deportistas¿ a fin de atender con eficiencia a los deportistas de alto rendimiento, entrenadores y equipos multidisciplinarios con miras a eventos internacionales. Al final del ejercicio se observó un porcentaje de cumplimiento de 103.67% respecto a la meta programada, lo cual significó la atención de 88 deportistas adicionales a lo programado. Este comportamiento se explica principalmente por lo siguiente:   . El aumento de este indicador obedece a que los Institutos Estatales del Deporte, las Asociaciones Deportivas Nacionales, así como los Organismos afines al Deporte, enviaron sus propuestas de becas completas, viéndose incrementado el número de atletas incorporados al padrón de becarios.    . En 2013 se estimó atender a 2400 deportistas de alto rendimiento, no obstante al cierre del año se otorgaron 2488 becas a deportistas de alto rendimiento.     Efecto: Los beneficios económicos y sociales alcanzados con los resultados de este indicador de componente, contribuyeron a:   . Fomentar que un mayor número deportistas estén en posibilidades de desarrollar su programa de trabajo con miras a integrarse al alto rendimiento, asimismo brindándoles la oportunidad de mejorar su nivel socioeconómico para acceder a una mejor formación académica del atleta, facilitándole su incorporación a las actividades económicamente productivas.   . La oportuna y adecuada atención a las demandas ciudadanas por parte de la Secretaría de Educación Pública        Otros Motivos:</t>
    </r>
  </si>
  <si>
    <r>
      <t xml:space="preserve">Porcentaje de Atletas atendido en el Programa de Talentos Deportivos en el año n
</t>
    </r>
    <r>
      <rPr>
        <sz val="10"/>
        <rFont val="Soberana Sans"/>
        <family val="2"/>
      </rPr>
      <t xml:space="preserve"> Causa : No se reporta variación del indicador, toda vez que se cumplió al 100% conforme a lo programado inicialmente para llevar a cabo la contratación de los entrenadores del programa de talentos deportivos, por lo que se cumplió en tiempo y forma.  Efecto: Al cumplirse la meta se asegura con eficiencia una cobertura que contribuya a que un número mayor de deportistas tengan la oportunidad de tener una preparación técnica que les permita incorporarse al alto rendimiento, para mejorar sus resultados deportivos y tener posibilidades de participar en eventos del ciclo olímpico. Otros Motivos:</t>
    </r>
  </si>
  <si>
    <r>
      <t xml:space="preserve">Porcentaje de Atletas atendidos en el Programa de Reserva Nacional en el año n
</t>
    </r>
    <r>
      <rPr>
        <sz val="10"/>
        <rFont val="Soberana Sans"/>
        <family val="2"/>
      </rPr>
      <t xml:space="preserve"> Causa : No se reporta variación del indicador, toda vez que se cumplió al 100% conforme a lo programado inicialmente para llevar a cabo la contratación de los entrenadores del programa de reserva nacional, por lo que se cumplió en tiempo y forma. Efecto: Al cumplirse la meta se aseguró con eficiencia una cobertura más amplia, que contribuyó a que un número mayor de deportistas se integraran a las preselecciones y selecciones estatales, como a las nacionales, con la finalidad de que cuenten con una preparación técnica óptima de alto rendimiento, así como para mejorar sus resultados deportivos y tener posibilidades de participar en eventos del ciclo olímpico. Otros Motivos:</t>
    </r>
  </si>
  <si>
    <r>
      <t xml:space="preserve">Porcentaje de convenios signados en tiempo y forma en el año n
</t>
    </r>
    <r>
      <rPr>
        <sz val="10"/>
        <rFont val="Soberana Sans"/>
        <family val="2"/>
      </rPr>
      <t xml:space="preserve"> Causa : La meta cumplida se debe a que se suscribieron el total de los Convenios de Colaboración y Concertación programados originalmente, esto debido a que las Federaciones Deportivas Mexicanas, dieron cumplimiento a los requisitos y obligaciones que establecen las Reglas de Operación del Sistema Mexicano del Deporte de Alto Rendimiento, previas a la firma del Convenio de Concertación y Colaboración para el ejercicio 2013. Efecto: Por lo anteriormente mencionado, no se tiene un efecto negativo en la atención a las asociaciones deportivas beneficiarias de este indicador, ya que se garantizó la continuidad de los programas de trabajo en las diferentes estrategias, motivo por el cual la percepción es buena. Otros Motivos:</t>
    </r>
  </si>
  <si>
    <r>
      <t xml:space="preserve">Recepción y análisis de propuestas para beca.
</t>
    </r>
    <r>
      <rPr>
        <sz val="10"/>
        <rFont val="Soberana Sans"/>
        <family val="2"/>
      </rPr>
      <t xml:space="preserve"> Causa : La variación al cierre del ejercicio fue positiva, debido a que los Institutos Estatales del Deporte, las Asociaciones Deportivas Nacionales, así como los Organismos Afines al Deporte, enviaron sus propuestas de becas con la documentación completa, viéndose incrementado el número de atletas incorporados al padrón de becarios. Efecto: Al cumplirse la meta se tuvo un crecimiento en la demanda de los servicios por lo que se rebasa la meta programada en 10.6%, esta situación ayuda a que un mayor número deportistas estén en posibilidades de ser beneficiados con un apoyo económico e integrarse en alguna de las etapas del proceso hacia el alto rendimiento. Otros Motivos:</t>
    </r>
  </si>
  <si>
    <r>
      <t xml:space="preserve">Porcentaje de propuestas recibidas y apoyadas en tiempo y forma
</t>
    </r>
    <r>
      <rPr>
        <sz val="10"/>
        <rFont val="Soberana Sans"/>
        <family val="2"/>
      </rPr>
      <t xml:space="preserve"> Causa : Con la meta cumplida se suscribieron el total de los Convenios de Colaboración y Concertación programados con 32 Institutos Estatales del Deporte y 3 Entidades Deportivas, estableciendo las bases de coordinación a favor del apoyo de la nómina de entrenadores para los Programas Talentos Deportivos y Reserva Nacional. Efecto: Con el cumplimiento de la meta se identificaron los perfiles correspondientes a las funciones que realizan los entrenadores para lo cual fueron contratados, con el propósito de que los deportistas atendidos por dichos profesores reciban una preparación idónea que les permita desarrollar sus habilidades y cualidades, las cuales se verán reflejadas en los resultados deportivos que obtengan. Otros Motivos:</t>
    </r>
  </si>
  <si>
    <r>
      <t xml:space="preserve">Porcentaje de evaluaciones de los resultados de los entrenadores del Programa en el año n
</t>
    </r>
    <r>
      <rPr>
        <sz val="10"/>
        <rFont val="Soberana Sans"/>
        <family val="2"/>
      </rPr>
      <t xml:space="preserve"> Causa : La meta no se alcanzó debido a que se recibió el 17.7% de las evaluaciones de los entrenadores que colaboran con los Programas de Talentos Deportivos y Reserva Nacional, del esperado para el cumplimiento de la meta al cierre del ejercicio fiscal, esto obedece al replanteamiento de la meta para el segundo semestre de 2013, propuesta de atención para 521 entrenadores, de acuerdo a los nuevos criterios y Lineamientos de Trabajo de 2013, con base a las prioridades o necesidades del deporte nacional.   Durante el mes de enero de 2014, se solicitará a los Institutos respectivos el envío de las evaluaciones faltantes de los entrenadores que colaboran en los programas antes mencionados, con el propósito de cumplir con la meta programada en 2013. Cabe señalar que el programa de trabajo culminó el 31 de diciembre, asimismo a que el personal de los Institutos tomó su periodo vacacional, reiniciando sus actividades en el mes de enero del presente año, dando continuidad a la entrega de dichas evaluaciones. Efecto: A pesar de que no se cumplió la meta, no se tuvo un efecto negativo para verificar el cumplimiento de los objetivos plasmados en su plan de entrenamiento, debido a las fechas de culminación de término de los planes de trabajo desempeñado por cada uno de los entrenadores en sus respectivas entidades, el cual se verificar durante el primer trimestre de 2014, y así poder evaluar el avance de los resultados alcanzados por sus deportistas y determinar su continuidad dentro del programa.  Otros Motivos:</t>
    </r>
  </si>
  <si>
    <t>S207</t>
  </si>
  <si>
    <t>Programa de Apoyo a las Culturas Municipales y Comunitarias (PACMYC)</t>
  </si>
  <si>
    <t>Contribuir a procesos culturales comunitarios a través de apoyo financiero a proyectos culturales en la sociedad mexicana</t>
  </si>
  <si>
    <r>
      <t>Variación porcentual de los grupos de portadores de cultura popular que reciben un apoyo</t>
    </r>
    <r>
      <rPr>
        <i/>
        <sz val="10"/>
        <color indexed="30"/>
        <rFont val="Soberana Sans"/>
        <family val="3"/>
      </rPr>
      <t xml:space="preserve">
Indicador Seleccionado</t>
    </r>
  </si>
  <si>
    <t>([Grupos Portadores de la Cultura Popular beneficiados en el año t / Grupos Portadores de la Cultura Popular beneficiados en el año t-1)- 1] x 100</t>
  </si>
  <si>
    <t>La población mexicana interesada en promover el desarrollo de las culturas populares recibe apoyo financiero</t>
  </si>
  <si>
    <r>
      <t>Proporción de Proyectos Apoyados con Respecto a Proyectos Recibidos</t>
    </r>
    <r>
      <rPr>
        <i/>
        <sz val="10"/>
        <color indexed="30"/>
        <rFont val="Soberana Sans"/>
        <family val="3"/>
      </rPr>
      <t xml:space="preserve">
</t>
    </r>
  </si>
  <si>
    <t>(Proyectos Apoyos en el año t /Proyectos Recibidos en el año t) x 100</t>
  </si>
  <si>
    <t>A Municipios de grupos interesados en promover alguna expresión de la cultura popular en el marco del programa</t>
  </si>
  <si>
    <r>
      <t>Presencia Municipal del Programa</t>
    </r>
    <r>
      <rPr>
        <i/>
        <sz val="10"/>
        <color indexed="30"/>
        <rFont val="Soberana Sans"/>
        <family val="3"/>
      </rPr>
      <t xml:space="preserve">
</t>
    </r>
  </si>
  <si>
    <t>(Municipios de los que se presenta por lo menos un proyecto al programa en el año t /Total de municipios en el país  en el año t) x 100</t>
  </si>
  <si>
    <t>Municipio</t>
  </si>
  <si>
    <t>B Capacitación para la elaboración de proyectos culturales proporcionada por las instancias ejecutoras del programa</t>
  </si>
  <si>
    <r>
      <t>Efecto de la capacitación para la elaboración de proyectos culturales en la aprobación de los proyectos presentados</t>
    </r>
    <r>
      <rPr>
        <i/>
        <sz val="10"/>
        <color indexed="30"/>
        <rFont val="Soberana Sans"/>
        <family val="3"/>
      </rPr>
      <t xml:space="preserve">
</t>
    </r>
  </si>
  <si>
    <t>[(Proyectos apoyados de portadores de cultura popular capacitados en el año t /Proyectos presentados de portadores de cultura popular capacitados en el año t) / (Proyectos apoyados de portadores de Cultura popular no capacitados en el año t /Proyectos presentados de portadores de cultura popular no capacitados en el año t )] -1 ] x 100</t>
  </si>
  <si>
    <t>A 1 Concertación con otros órdenes de gobierno para la operación del programa</t>
  </si>
  <si>
    <r>
      <t>Aportaciones financieras no federales al programa</t>
    </r>
    <r>
      <rPr>
        <i/>
        <sz val="10"/>
        <color indexed="30"/>
        <rFont val="Soberana Sans"/>
        <family val="3"/>
      </rPr>
      <t xml:space="preserve">
</t>
    </r>
  </si>
  <si>
    <t>[Aportaciones financieras no federales en el año t / Aportaciones financieras comprometidas en el año t] X100</t>
  </si>
  <si>
    <t>Pesos</t>
  </si>
  <si>
    <t>A 2 Supervisión a proyectos aprobados</t>
  </si>
  <si>
    <r>
      <t>Tasa de crecimiento de Proyectos Supervisados</t>
    </r>
    <r>
      <rPr>
        <i/>
        <sz val="10"/>
        <color indexed="30"/>
        <rFont val="Soberana Sans"/>
        <family val="3"/>
      </rPr>
      <t xml:space="preserve">
</t>
    </r>
  </si>
  <si>
    <t>[(Proyectos Supervisados en el año t /Proyectos Supervisados en el año t-1] -1] x 100</t>
  </si>
  <si>
    <t>A 3 Eficacia en la realización de los trámites administrativos para la entrega de recursos</t>
  </si>
  <si>
    <r>
      <t>Tiempo requerido para la entrega de apoyos</t>
    </r>
    <r>
      <rPr>
        <i/>
        <sz val="10"/>
        <color indexed="30"/>
        <rFont val="Soberana Sans"/>
        <family val="3"/>
      </rPr>
      <t xml:space="preserve">
</t>
    </r>
  </si>
  <si>
    <t>(Promedio de DÍAS en el año t-1) - (Promedio de DÍAS en el año t)</t>
  </si>
  <si>
    <t>Día</t>
  </si>
  <si>
    <t>B 4 Proyectos a los que se otorga prorroga para su conclusión por parte de las Comisiones de Planeación y Apoyo a la Creación Popular</t>
  </si>
  <si>
    <r>
      <t>Variación Porcentaje anual de proyectos con prórroga</t>
    </r>
    <r>
      <rPr>
        <i/>
        <sz val="10"/>
        <color indexed="30"/>
        <rFont val="Soberana Sans"/>
        <family val="3"/>
      </rPr>
      <t xml:space="preserve">
</t>
    </r>
  </si>
  <si>
    <t>[Proyectos con prórroga en el año t /Proyectos con prórroga en el año t-1] x 100</t>
  </si>
  <si>
    <t>B 5 Proyectos cancelados por las Comisiones de Planeación y Apoyo a la Creación Popular</t>
  </si>
  <si>
    <r>
      <t>Variación porcentual anual de proyectos cancelados</t>
    </r>
    <r>
      <rPr>
        <i/>
        <sz val="10"/>
        <color indexed="30"/>
        <rFont val="Soberana Sans"/>
        <family val="3"/>
      </rPr>
      <t xml:space="preserve">
</t>
    </r>
  </si>
  <si>
    <t>[Proyectos Cancelado en el año t / Proyectos Cancelado en el año t-1]-1 x 100</t>
  </si>
  <si>
    <r>
      <t xml:space="preserve">Variación porcentual de los grupos de portadores de cultura popular que reciben un apoyo
</t>
    </r>
    <r>
      <rPr>
        <sz val="10"/>
        <rFont val="Soberana Sans"/>
        <family val="2"/>
      </rPr>
      <t xml:space="preserve"> Causa : La Secretaría de Educación, a través del Consejo Nacional para la Cultura y las Artes, estableció para 2013 el indicador estratégico Variación porcentual de los grupos de portadores de cultura popular que reciben un apoyo, a través del cual se mide el aumento o decremento porcentual del número de proyectos apoyados en una convocatoria respecto a la convocatoria del año anterior, a fin de atender con eficacia el apoyo financiero a proyectos culturales en la sociedad mexicana. Al final del ejercicio, observó un porcentaje de cumplimiento de 156.15% con respecto a la meta programada, lo cual significó la atención de 1,358 proyectos apoyados en una convocatoria. Este comportamiento se explica principalmente por lo siguiente:   .  El aumento de este indicador obedece a que se incrementaron los recursos federales que se tuvieron disponibles en el ejercicio fiscal, impactando a la variable positivamente.   .  En 2013 se estimó beneficiar alrededor de 1,336 Grupos Portadores de la Cultura Popular con respecto al universo de cobertura de 1,297 Grupos Portadores de la Cultura Popular que promovieron sus expresiones en 2012.  No obstante, al cierre del año se benefició a un total de 1,358 Grupos Portadores de la Cultura Popular.         Efecto: Los beneficios económicos y sociales alcanzados con este indicador de fin, permitieron favorecer a 22 Grupos Portadores de la Cultura Popular más de los que se habían estimado para el ciclo que se reporta, lo que permitió avanzar en el cumplimiento del objetivo de contribuir al fortalecimiento de procesos culturales comunitarios a través del financiamiento a las propuestas colectivas para el desarrollo de proyectos.    . Con ello, el Ejecutivo Federal, a través de la Secretaría de Educación Pública, garantiza el poder beneficiar a las organizaciones, asociaciones civiles, sociedades cooperativas, mujeres y hombres interesados en la creación, promoción, rescate, preservación y desarrollo de la cultura popular e indígena de su comunidad, pueblo, ranchería, colonia o municipio   .  Además, se propició la participación de todos los órdenes de gobierno así como de otras instancias sociales y privadas, en la aportación para integrar un fondo económico para el apoyo de proyectos de cultura popular. Otros Motivos:</t>
    </r>
  </si>
  <si>
    <r>
      <t xml:space="preserve">Proporción de Proyectos Apoyados con Respecto a Proyectos Recibidos
</t>
    </r>
    <r>
      <rPr>
        <sz val="10"/>
        <rFont val="Soberana Sans"/>
        <family val="2"/>
      </rPr>
      <t xml:space="preserve"> Causa : La UR. H00 - Consejo Nacional para la Cultura y las Artes reporta que es mínima la diferencia respecto a la meta programada y se debe a que aumentó en una mayor proporción el número de proyectos recibidos que el fondo de financiamiento del programa. Efecto: La UR. H00 - Consejo Nacional para la Cultura y las Artes reporta que con este indicador de propósito, contribuyó al fortalecimiento de procesos culturales comunitarios a través del apoyo a propuestas colectivas. Se promovió un ámbito o expresión de las culturas populares a través del financiamiento a las propuestas colectivas, para el desarrollo de proyectos. Se propició la participación de todos los órdenes de gobierno así como de otras instancias sociales y privadas, en la aportación para integrar un fondo económico, para el apoyo de proyectos de cultura popular. En este contexto la población mexicana interesada en promover el desarrollo de las culturas recibe el apoyo financiero correspondiente. Se beneficiario a organizaciones, asociaciones civiles, sociedades cooperativas, mujeres y hombres interesados en la creación, promoción, rescate, preservación y desarrollo de la cultura popular e indígena de su comunidad, pueblo, ranchería, colonia o municipio. Otros Motivos:</t>
    </r>
  </si>
  <si>
    <r>
      <t xml:space="preserve">Presencia Municipal del Programa
</t>
    </r>
    <r>
      <rPr>
        <sz val="10"/>
        <rFont val="Soberana Sans"/>
        <family val="2"/>
      </rPr>
      <t xml:space="preserve"> Causa : La UR. H00 - Consejo Nacional para la Cultura y las Artes reporta que se superó ligeramente la meta por el incremento de proyectos recibidos, permitiendo una mayor diversidad en su origen geográfico. Efecto: La UR. H00 - Consejo Nacional para la Cultura y las Artes reporta que con este indicador de componente, contribuyó al fortalecimiento de procesos culturales comunitarios a través del apoyo a propuestas colectivas. Se promovió un ámbito o expresión de las culturas populares a través del financiamiento a las propuestas colectivas, para el desarrollo de proyectos. Se propició la participación de todos los órdenes de gobierno así como de otras instancias sociales y privadas, en la aportación para integrar un fondo económico, para el apoyo de proyectos de cultura popular. En este contexto la población mexicana interesada en promover el desarrollo de las culturas recibe el apoyo financiero correspondiente. Se beneficiario a organizaciones, asociaciones civiles, sociedades cooperativas, mujeres y hombres interesados en la creación, promoción, rescate, preservación y desarrollo de la cultura popular e indígena de su comunidad, pueblo, ranchería, colonia o municipio. Otros Motivos:</t>
    </r>
  </si>
  <si>
    <r>
      <t xml:space="preserve">Efecto de la capacitación para la elaboración de proyectos culturales en la aprobación de los proyectos presentados
</t>
    </r>
    <r>
      <rPr>
        <sz val="10"/>
        <rFont val="Soberana Sans"/>
        <family val="2"/>
      </rPr>
      <t xml:space="preserve"> Causa : La UR. H00 - Consejo Nacional para la Cultura y las Artes reporta que se incrementó el efecto de la capacitación con respecto al ejercicio 2012, sin embargo se capacitó para la elaboración de proyectos culturales proporcionada por las instancias ejecutoras del programa en el marco de la diversidad culturalse mantuvo por debajo de la meta. Efecto: La UR. H00 - Consejo Nacional para la Cultura y las Artes reporta que con este indicador de componente, contribuyó al fortalecimiento de procesos culturales comunitarios a través del apoyo a propuestas colectivas. Se promovió un ámbito o expresión de las culturas populares a través del financiamiento a las propuestas colectivas, para el desarrollo de proyectos. Se propició la participación de todos los órdenes de gobierno así como de otras instancias sociales y privadas, en la aportación para integrar un fondo económico, para el apoyo de proyectos de cultura popular. En este contexto la población mexicana interesada en promover el desarrollo de las culturas recibe el apoyo financiero correspondiente. Se beneficiario a organizaciones, asociaciones civiles, sociedades cooperativas, mujeres y hombres interesados en la creación, promoción, rescate, preservación y desarrollo de la cultura popular e indígena de su comunidad, pueblo, ranchería, colonia o municipio. Otros Motivos:</t>
    </r>
  </si>
  <si>
    <r>
      <t xml:space="preserve">Aportaciones financieras no federales al programa
</t>
    </r>
    <r>
      <rPr>
        <sz val="10"/>
        <rFont val="Soberana Sans"/>
        <family val="2"/>
      </rPr>
      <t xml:space="preserve"> Causa : La UR. H00 - Consejo Nacional para la Cultura y las Artes reporta que se logró la meta y el resultado se encuentra dentro del rango programado en 43.4 Efecto: La UR. H00 - Consejo Nacional para la Cultura y las Artes reporta que con este indicador de actividad, contribuyó al fortalecimiento de procesos culturales comunitarios a través del apoyo a propuestas colectivas. Se promovió un ámbito o expresión de las culturas populares a través del financiamiento a las propuestas colectivas, para el desarrollo de proyectos. Se propició la participación de todos los órdenes de gobierno así como de otras instancias sociales y privadas, en la aportación para integrar un fondo económico, para el apoyo de proyectos de cultura popular a través del PACMYC. Se beneficiario a organizaciones, asociaciones civiles, sociedades cooperativas, mujeres y hombres interesados en la creación, promoción, rescate, preservación y desarrollo de la cultura popular e indígena de su comunidad, pueblo, ranchería, colonia o municipio. El programa de apoyo a las culturas municipales y comunitarias ofrecerá becas. Otros Motivos:</t>
    </r>
  </si>
  <si>
    <r>
      <t xml:space="preserve">Tasa de crecimiento de Proyectos Supervisados
</t>
    </r>
    <r>
      <rPr>
        <sz val="10"/>
        <rFont val="Soberana Sans"/>
        <family val="2"/>
      </rPr>
      <t xml:space="preserve"> Causa : La UR. H00 - Consejo Nacional para la Cultura y las Artes reporta que la tasa de crecimiento de los proyectos supervisados superó ligeramente lo programado y se encuentra dentro del rango programado. Efecto: La UR. H00 - Consejo Nacional para la Cultura y las Artes reporta que con este indicador de actividad, contribuyó al fortalecimiento de procesos culturales comunitarios a través del apoyo a propuestas colectivas. Se promovió un ámbito o expresión de las culturas populares a través del financiamiento a las propuestas colectivas, para el desarrollo de proyectos. Se propició la participación de todos los órdenes de gobierno así como de otras instancias sociales y privadas, en la aportación para integrar un fondo económico, para el apoyo de proyectos de cultura popular. En este contexto la población mexicana interesada en promover el desarrollo de las culturas recibe el apoyo financiero correspondiente. Se beneficiario a organizaciones, asociaciones civiles, sociedades cooperativas, mujeres y hombres interesados en la creación, promoción, rescate, preservación y desarrollo de la cultura popular e indígena de su comunidad, pueblo, ranchería, colonia o municipio. Otros Motivos:</t>
    </r>
  </si>
  <si>
    <r>
      <t xml:space="preserve">Tiempo requerido para la entrega de apoyos
</t>
    </r>
    <r>
      <rPr>
        <sz val="10"/>
        <rFont val="Soberana Sans"/>
        <family val="2"/>
      </rPr>
      <t xml:space="preserve"> Causa : La UR. H00 - Consejo Nacional para la Cultura y las Artes reporta que  aunque las entregas de los financiamientos aprobados se dieron en fecha relativamente posterior a las de la convocatoria anterior, ese retraso se presentó en todo el proceso, dado el cambio de administración federal, por lo que las ejecutoras estatales programaron con mayor eficiencia las fechas de dictamen, con lo que el tiempo de entrega de los apoyos incluso superó la meta programada. Se redujó los tiempos en la realización de los trámites administrativos para la entrega de recursos. Efecto: La UR. H00 - Consejo Nacional para la Cultura y las Artes reporta que con este indicador de actividad, contribuyó al fortalecimiento de procesos culturales comunitarios a través del apoyo a propuestas colectivas. Se promovió un ámbito o expresión de las culturas populares a través del financiamiento a las propuestas colectivas, para el desarrollo de proyectos. Se propició la participación de todos los órdenes de gobierno así como de otras instancias sociales y privadas, en la aportación para integrar un fondo económico, para el apoyo de proyectos de cultura popular. En este contexto la población mexicana interesada en promover el desarrollo de las culturas recibe el apoyo financiero correspondiente. Se beneficiario a organizaciones, asociaciones civiles, sociedades cooperativas, mujeres y hombres interesados en la creación, promoción, rescate, preservación y desarrollo de la cultura popular e indígena de su comunidad, pueblo, ranchería, colonia o municipio. Otros Motivos:</t>
    </r>
  </si>
  <si>
    <r>
      <t xml:space="preserve">Variación Porcentaje anual de proyectos con prórroga
</t>
    </r>
    <r>
      <rPr>
        <sz val="10"/>
        <rFont val="Soberana Sans"/>
        <family val="2"/>
      </rPr>
      <t xml:space="preserve"> Causa : La UR. H00 - Consejo Nacional para la Cultura y las Artes reporta que el resultado del indicador es negativo debido a que la fórmula tiene el -1, además de que derivado del crecimiento de las actividades de supervisión y de las mejoras establecidas en los procesos de dictaminación, la reducción del número de proyectos con prorroga se ubicó dentro de la meta programada.  Efecto: La UR. H00 - Consejo Nacional para la Cultura y las Artes reporta que con este indicador de actividad, contribuyó al fortalecimiento de procesos culturales comunitarios a través del apoyo a propuestas colectivas. Se promovió un ámbito o expresión de las culturas populares a través del financiamiento a las propuestas colectivas, para el desarrollo de proyectos. Se propició la participación de todos los órdenes de gobierno así como de otras instancias sociales y privadas, en la aportación para integrar un fondo económico, para el apoyo de proyectos de cultura popular. En este contexto la población mexicana interesada en promover el desarrollo de las culturas recibe el apoyo financiero correspondiente. Se beneficiario a organizaciones, asociaciones civiles, sociedades cooperativas, mujeres y hombres interesados en la creación, promoción, rescate, preservación y desarrollo de la cultura popular e indígena de su comunidad, pueblo, ranchería, colonia o municipio. Otros Motivos:Derivado de un crecimiento en las actividades de supervisión, una mayor cantidad de proyectos en ejecución presentaron solicitudes formales de prórroga para regularizar su situación. El resultado negativo se debe a que la fórmula tiene el -1 </t>
    </r>
  </si>
  <si>
    <r>
      <t xml:space="preserve">Variación porcentual anual de proyectos cancelados
</t>
    </r>
    <r>
      <rPr>
        <sz val="10"/>
        <rFont val="Soberana Sans"/>
        <family val="2"/>
      </rPr>
      <t xml:space="preserve"> Causa : La UR. H00 - Consejo Nacional para la Cultura y las Artes reporta que se superó ligeramente la meta programada, como resultado del aumento en el número de proyectos supervisados Efecto: La UR. H00 - Consejo Nacional para la Cultura y las Artes reporta que con este indicador de actividad, contribuyó al fortalecimiento de procesos culturales comunitarios a través del apoyo a propuestas colectivas. Se promovió un ámbito o expresión de las culturas populares a través del financiamiento a las propuestas colectivas, para el desarrollo de proyectos. Se propició la participación de todos los órdenes de gobierno así como de otras instancias sociales y privadas, en la aportación para integrar un fondo económico, para el apoyo de proyectos de cultura popular a través del PACMYC. Se beneficiario a organizaciones, asociaciones civiles, sociedades cooperativas, mujeres y hombres interesados en la creación, promoción, rescate, preservación y desarrollo de la cultura popular e indígena de su comunidad, pueblo, ranchería, colonia o municipio. El programa de apoyo a las culturas municipales y comunitarias ofrecerá becas. Otros Motivos:</t>
    </r>
  </si>
  <si>
    <t>S208</t>
  </si>
  <si>
    <t>Programa de Apoyo a Comunidades para Restauración de Monumentos y Bienes Artísticos de Propiedad Federal (FOREMOBA)</t>
  </si>
  <si>
    <t>Contribuir a que a través de los tres niveles de gobierno y las organizaciones de la sociedad civil la poblacion tenga acceso al patrimonio cultural mexicano, alentando, fortaleciendo e integrando las iniciativas de proteccion, conservación y difusion del patrimoni cultural</t>
  </si>
  <si>
    <r>
      <t>Porcentaje de variación en el número de entidades estatales, municipales y organizaciones de la sociedad civil que participaron en el año N con respecto al año N-1</t>
    </r>
    <r>
      <rPr>
        <i/>
        <sz val="10"/>
        <color indexed="30"/>
        <rFont val="Soberana Sans"/>
        <family val="3"/>
      </rPr>
      <t xml:space="preserve">
</t>
    </r>
  </si>
  <si>
    <t>(Total de entidades estatales, municipales y organizaciones de la sociedad civil que participaron en curso / Total de entidades que participaron en el año previo) * 100</t>
  </si>
  <si>
    <t>Contribuir a la preservación de bienes muebles e inmuebles históricos y artísticos de propiedad federal mediante la concurrencia de recursos de los tres niveles de gobierno, con las comunidades y los grupos organizados legalmente constituidos.</t>
  </si>
  <si>
    <r>
      <t>Porcentaje de variación en el número de bienes muebles e inmuebles históricos y artísticos de propiedad federal que fueron intervenidos durante el año con respecto al año anterior</t>
    </r>
    <r>
      <rPr>
        <i/>
        <sz val="10"/>
        <color indexed="30"/>
        <rFont val="Soberana Sans"/>
        <family val="3"/>
      </rPr>
      <t xml:space="preserve">
Indicador Seleccionado</t>
    </r>
  </si>
  <si>
    <t>((Bienes muebles e inmuebles intervenidos en el año N/ Bienes muebles e inmuebles intervenidos en el año N-1) -1) x 100</t>
  </si>
  <si>
    <t>A Los recursos de los dos niveles de gobierno y de las organizaciones sociales y comunitarias legalmente constituidas para la preservación de bienes muebles e inmuebles históricos y artísticos de propiedad federal son complementados por el programa.</t>
  </si>
  <si>
    <r>
      <t>Porcentaje del monto de recursos aportados por el programa para cada proyecto beneficiado en el año en curso</t>
    </r>
    <r>
      <rPr>
        <i/>
        <sz val="10"/>
        <color indexed="30"/>
        <rFont val="Soberana Sans"/>
        <family val="3"/>
      </rPr>
      <t xml:space="preserve">
</t>
    </r>
  </si>
  <si>
    <t xml:space="preserve">(Porcentaje real que el programa aportó por proyecto / Porcentaje maximo de recursos que el programa puede entregar por proyecto en el año N ) * 100 </t>
  </si>
  <si>
    <t>A 1 Selección y aprobación de proyectos</t>
  </si>
  <si>
    <r>
      <t>Porcentaje de proyectos seleccionados y aprobados con respecto al número de proyectos integrados completos</t>
    </r>
    <r>
      <rPr>
        <i/>
        <sz val="10"/>
        <color indexed="30"/>
        <rFont val="Soberana Sans"/>
        <family val="3"/>
      </rPr>
      <t xml:space="preserve">
</t>
    </r>
  </si>
  <si>
    <t>(Proyectos seleccionados y aprobados en el año N /Proyectos integrados completos en el año N) * 100</t>
  </si>
  <si>
    <t>A 2 Ejecución de los proyectos</t>
  </si>
  <si>
    <r>
      <t xml:space="preserve">Porcentaje de recursos federales que han sido ejercidos por los beneficiarios </t>
    </r>
    <r>
      <rPr>
        <i/>
        <sz val="10"/>
        <color indexed="30"/>
        <rFont val="Soberana Sans"/>
        <family val="3"/>
      </rPr>
      <t xml:space="preserve">
</t>
    </r>
  </si>
  <si>
    <t>(Proyectos que ejercieron el recurso / Total de proyectos beneficiados ) * 100</t>
  </si>
  <si>
    <r>
      <t xml:space="preserve">Porcentaje de proyectos beneficiarios que entregan los informes de avance de obra en los plazos establecidos por el programa </t>
    </r>
    <r>
      <rPr>
        <i/>
        <sz val="10"/>
        <color indexed="30"/>
        <rFont val="Soberana Sans"/>
        <family val="3"/>
      </rPr>
      <t xml:space="preserve">
</t>
    </r>
  </si>
  <si>
    <t>(Proyectos que entregan informe a tiempo/Total de proyectos beneficiados que se ejecutan) *100</t>
  </si>
  <si>
    <r>
      <t>Porcentaje en el número de solicitudes recibidas con respecto al año anterior</t>
    </r>
    <r>
      <rPr>
        <i/>
        <sz val="10"/>
        <color indexed="30"/>
        <rFont val="Soberana Sans"/>
        <family val="3"/>
      </rPr>
      <t xml:space="preserve">
</t>
    </r>
  </si>
  <si>
    <t>(Solicitudes recibidas en el año N / Solicitudes recibidas en el año N-1) * 100</t>
  </si>
  <si>
    <t>A 3 Recepción de proyectos</t>
  </si>
  <si>
    <r>
      <t>Porcentaje de proyectos completos e incompletos que son recibidos con respecto a las solicitudes recibidas en el año en curso</t>
    </r>
    <r>
      <rPr>
        <i/>
        <sz val="10"/>
        <color indexed="30"/>
        <rFont val="Soberana Sans"/>
        <family val="3"/>
      </rPr>
      <t xml:space="preserve">
</t>
    </r>
  </si>
  <si>
    <t>(Proyectos completos e incompletos recibidos en el año N / Solicitudes recibidas en el año N) * 100</t>
  </si>
  <si>
    <r>
      <t>Porcentaje de los proyectos integrados completos con respecto a los proyectos completos e incompletos recibidos en el año en curso</t>
    </r>
    <r>
      <rPr>
        <i/>
        <sz val="10"/>
        <color indexed="30"/>
        <rFont val="Soberana Sans"/>
        <family val="3"/>
      </rPr>
      <t xml:space="preserve">
</t>
    </r>
  </si>
  <si>
    <t>(Proyectos integrados completos en el año N / Proyectos recibidos completos e incompletos en el año N-1) * 100</t>
  </si>
  <si>
    <r>
      <t xml:space="preserve">Porcentaje de variación en el número de entidades estatales, municipales y organizaciones de la sociedad civil que participaron en el año N con respecto al año N-1
</t>
    </r>
    <r>
      <rPr>
        <sz val="10"/>
        <rFont val="Soberana Sans"/>
        <family val="2"/>
      </rPr>
      <t xml:space="preserve"> Causa : El Consejo Nacional para la Cultura y las Artes determina que el número de solicitudes recibidas para este ejercicio disminuyó, debido al retraso en la publicación de la reglas de operación y la convocatoria del FOREMOBA, retrasando la divulgación y reduciendo el tiempo a los solicitantes para el cumplimiento de los requerimientos de las reglas de operación, afectando en el número de solicitudes recibidas en relación con el año anterior, además de la reducción del 20.45% de su presupuesto original. Efecto: El Fondo busca integrar y responsabilizar a la sociedad civil en la conservación y mantenimiento del patrimonio monumental y artístico de propiedad federal. Su finalidad es proteger, restaurar y conservar los bienes inmuebles y artísticos de propiedad Federal, está dirigida a las comunidades locales y grupos organizados e instituciones de las entidades federativas y municipales. Realizar programas, proyectos y obras tendientes a proteger, conservar y restaurar el patrimonio cultural en los monumentos históricos de propiedad federal y los bienes muebles que contienen, de conformidad con los lineamientos que en la materia dicte los Institutos Nacionales de Antropología e Historia y el de Bellas Artes. Conocer en forma cuantitativa y cualitativa el patrimonio cultural para El Consejo Nacional para la Cultura y las Artes determinar que su estado de conservación y las necesidades de intervención que posibiliten establecer jerarquías y prioridades e integrar programas de actuación, administración y control. Fomentar la capacitación en todos los niveles, desde estudios de postgrado hasta técnicas artesanales de mano de obra especializada de los cuadros técnicos y operativos. Brindar permanentemente servicio de asistencia técnica y de apoyo a los estados, municipios y comunidades, con objeto de propiciar la participación local a través de una adecuada y oportuna atención en el desarrollo de proyectos y obras de restauración. ¿ Las instituciones de las entidades federativas ¿ Municipales ¿ Comunidades locales y grupos organizados, legalmente constituidos ¿ Objeto de los presentes beneficios, las instituciones en las entidades federativas, en los municipios, en las comunidades locales y grupos organizados, legalmente constituidos. Otros Motivos:</t>
    </r>
  </si>
  <si>
    <r>
      <t xml:space="preserve">Porcentaje de variación en el número de bienes muebles e inmuebles históricos y artísticos de propiedad federal que fueron intervenidos durante el año con respecto al año anterior
</t>
    </r>
    <r>
      <rPr>
        <sz val="10"/>
        <rFont val="Soberana Sans"/>
        <family val="2"/>
      </rPr>
      <t xml:space="preserve"> Causa : El resultado de la meta alcanzada del indicador es negativo en -31.04; Debido a que el indicador reporta meta alcanzada con signo negativo, para el cálculo del porcentaje de cumplimiento se aplicaron las fórmulas siguientes: (Numerador de la Meta Alcanzada/ Numerador de la Meta Aprobada) X 100      La Secretaría de Educación, a través del Consejo Nacional para la Cultura y las Artes, estableció para 2013 el indicador estratégico Porcentaje de variación en el número de bienes muebles e inmuebles históricos y artísticos de propiedad federal que fueron intervenidos durante el año con respecto al año anterior, a través del cual se mide el porcentaje de bienes culturales intervenidos con acciones de restauración, a fin de atender con eficiencia el patrimonio cultural mexicano. Al final del ejercicio, observó un porcentaje de cumplimiento 66.66% con respecto a la meta programada, lo cual significó 80 bienes muebles e inmuebles intervenidos en el año. Este comportamiento se explica principalmente por lo siguiente: En 2013 se estimó atender alrededor de 120 proyectos de los que se previó apoyar al 100%; no obstante al cierre la comisión dictaminadora seleccionó 85 proyectos para recibir recursos federales del  FOREMOBA, proyectos que fueron avalados por el comité ejecutivo del programa, se publicaron los resultados y se realizaron 85 proyectos de convenios de colaboración para realizar los trámites administrativos para la liberación de los recursos, de los cuales sólo 80 proyectos cumplieron con todos los requisitos en tiempo y forma. De los 5 proyectos restantes, los responsables legales enviaron oficios de cancelación de sus proyectos debido a la falta de solvencia presupuestaria de la contraparte. Efecto: Los beneficios económicos y sociales alcanzados con este indicador de propósito, contribuyeron en integrar y responsabilizar a la sociedad civil en la conservación y mantenimiento del patrimonio monumental y artístico de propiedad federal, proteger, restaurar y conservar los bienes inmuebles y artísticos de propiedad Federal, en las comunidades locales y grupos organizados e instituciones de las entidades federativas y municipales. Así como llevar a cabo programas, proyectos y obras tendientes a proteger, conservar y restaurar el patrimonio cultural en los monumentos históricos de propiedad federal y los bienes muebles que contienen.      . Con ello, el Ejecutivo Federal, a través de la Secretaría de Educación Pública, dará a conocer en forma cuantitativa y cualitativa el patrimonio cultural para determinar su estado de conservación y las necesidades de intervención que posibiliten establecer jerarquías y prioridades e integrar programas de actuación, administración y control, fomentar la capacitación en todos los niveles, desde estudios de postgrado hasta técnicas artesanales de mano de obra especializada de los cuadros técnicos y operativos. Brindar permanentemente servicio de asistencia técnica y de apoyo a los estados, municipios y comunidades, con objeto de propiciar la participación local a través de una adecuada y oportuna atención en el desarrollo de proyectos y obras de restauración.    . Además de brindar permanentemente servicio de asistencia técnica y de apoyo a los estados, municipios y comunidades, con objeto de propiciar la participación local a través de una adecuada y oportuna atención en el desarrollo de proyectos y obras de restauración.             Otros Motivos:</t>
    </r>
  </si>
  <si>
    <r>
      <t xml:space="preserve">Porcentaje del monto de recursos aportados por el programa para cada proyecto beneficiado en el año en curso
</t>
    </r>
    <r>
      <rPr>
        <sz val="10"/>
        <rFont val="Soberana Sans"/>
        <family val="2"/>
      </rPr>
      <t xml:space="preserve"> Causa : El Consejo Nacional para la Cultura y las Artes determina que el valor de 0.34, corresponde al 34.62% de recursos aportados por el FOREMOBA  de la inversión total de los recursos comprometidos por todas las partes Efecto: El Consejo Nacional para la Cultura y las Artes determina que El Fondo busca integrar y responsabilizar a la sociedad civil en la conservación y mantenimiento del patrimonio monumental y artístico de propiedad federal. Su finalidad es proteger, restaurar y conservar los bienes inmuebles y artísticos de propiedad Federal, está dirigida a las comunidades locales y grupos organizados e instituciones de las entidades federativas y municipales. Realizar programas, proyectos y obras tendientes a proteger, conservar y restaurar el patrimonio cultural en los monumentos históricos de propiedad federal y los bienes muebles que contienen, de conformidad con los lineamientos que en la materia dicte los Institutos Nacionales de Antropología e Historia y el de Bellas Artes. Conocer en forma cuantitativa y cualitativa el patrimonio cultural para determinar su estado de conservación y las necesidades de intervención que posibiliten establecer jerarquías y prioridades e integrar programas de actuación, administración y control. Fomentar la capacitación en todos los niveles, desde estudios de postgrado hasta técnicas artesanales de mano de obra especializada de los cuadros técnicos y operativos. Brindar permanentemente servicio de asistencia técnica y de apoyo a los estados, municipios y comunidades, con objeto de propiciar la participación local a través de una adecuada y oportuna atención en el desarrollo de proyectos y obras de restauración. ¿ Las instituciones de las entidades federativas ¿ Municipales ¿ Comunidades locales y grupos organizados, legalmente constituidos ¿ Objeto de los presentes beneficios, las instituciones en las entidades federativas, en los municipios, en las comunidades locales y grupos organizados, legalmente constituidos. Otros Motivos:</t>
    </r>
  </si>
  <si>
    <r>
      <t xml:space="preserve">Porcentaje de proyectos seleccionados y aprobados con respecto al número de proyectos integrados completos
</t>
    </r>
    <r>
      <rPr>
        <sz val="10"/>
        <rFont val="Soberana Sans"/>
        <family val="2"/>
      </rPr>
      <t xml:space="preserve"> Causa : El Consejo Nacional para la Cultura y las Artes determina que el valor de los 85 proyectos corresponde al número de proyectos seleccionados por la comisión dictaminadora, a diferencia del valor de los 80 proyectos beneficiados del nivel de propósito. Esta variación tiene que ver con el número de proyectos que cumplieron con los trámites para que pudieran ser erogados los recursos federales, es decir de los 85 proyectos seleccionados originalmente por la comisión dictaminadora, 80 cumplieron con los trámites siendo beneficiados con los recursos del FOREMOBA.   Efecto: El Consejo Nacional para la Cultura y las Artes determina que El Fondo busca integrar y responsabilizar a la sociedad civil en la conservación y mantenimiento del patrimonio monumental y artístico de propiedad federal. Su finalidad es proteger, restaurar y conservar los bienes inmuebles y artísticos de propiedad Federal, está dirigida a las comunidades locales y grupos organizados e instituciones de las entidades federativas y municipales. Realizar programas, proyectos y obras tendientes a proteger, conservar y restaurar el patrimonio cultural en los monumentos históricos de propiedad federal y los bienes muebles que contienen, de conformidad con los lineamientos que en la materia dicte los Institutos Nacionales de Antropología e Historia y el de Bellas Artes. Conocer en forma cuantitativa y cualitativa el patrimonio cultural para determinar su estado de conservación y las necesidades de intervención que posibiliten establecer jerarquías y prioridades e integrar programas de actuación, administración y control. Fomentar la capacitación en todos los niveles, desde estudios de postgrado hasta técnicas artesanales de mano de obra especializada de los cuadros técnicos y operativos. Brindar permanentemente servicio de asistencia técnica y de apoyo a los estados, municipios y comunidades, con objeto de propiciar la participación local a través de una adecuada y oportuna atención en el desarrollo de proyectos y obras de restauración. ¿ Las instituciones de las entidades federativas ¿ Municipales ¿ Comunidades locales y grupos organizados, legalmente constituidos ¿ Objeto de los presentes beneficios, las instituciones en las entidades federativas, en los municipios, en las comunidades locales y grupos organizados, legalmente constituidos. Otros Motivos:</t>
    </r>
  </si>
  <si>
    <r>
      <t xml:space="preserve">Porcentaje de recursos federales que han sido ejercidos por los beneficiarios 
</t>
    </r>
    <r>
      <rPr>
        <sz val="10"/>
        <rFont val="Soberana Sans"/>
        <family val="2"/>
      </rPr>
      <t xml:space="preserve"> Causa : El Consejo Nacional para la Cultura y las Artes determina que el porcentaje de avance corresponde a los proyectos beneficiados con recursos del 2012, que han entregado los informes de obra y que han comprobado de manera parcial o total los recursos aportados y los trabajos realizados. En el caso de los proyectos que no han entregado, esto se debe a cambio en las administraciones estatales o municipales, lo cual generó un retraso en el inicio de las obras y el otorgamiento de los recursos de las contrapartes, sin embrago se tiene contacto con los responsables para finiquitar los compromisos a la brevedad. Efecto: El Consejo Nacional para la Cultura y las Artes determina que El Fondo busca integrar y responsabilizar a la sociedad civil en la conservación y mantenimiento del patrimonio monumental y artístico de propiedad federal. Su finalidad es proteger, restaurar y conservar los bienes inmuebles y artísticos de propiedad Federal, está dirigida a las comunidades locales y grupos organizados e instituciones de las entidades federativas y municipales. Realizar programas, proyectos y obras tendientes a proteger, conservar y restaurar el patrimonio cultural en los monumentos históricos de propiedad federal y los bienes muebles que contienen, de conformidad con los lineamientos que en la materia dicte los Institutos Nacionales de Antropología e Historia y el de Bellas Artes. Conocer en forma cuantitativa y cualitativa el patrimonio cultural para determinar su estado de conservación y las necesidades de intervención que posibiliten establecer jerarquías y prioridades e integrar programas de actuación, administración y control. Fomentar la capacitación en todos los niveles, desde estudios de postgrado hasta técnicas artesanales de mano de obra especializada de los cuadros técnicos y operativos. Brindar permanentemente servicio de asistencia técnica y de apoyo a los estados, municipios y comunidades, con objeto de propiciar la participación local a través de una adecuada y oportuna atención en el desarrollo de proyectos y obras de restauración. ¿ Las instituciones de las entidades federativas ¿ Municipales ¿ Comunidades locales y grupos organizados, legalmente constituidos ¿ Objeto de los presentes beneficios, las instituciones en las entidades federativas, en los municipios, en las comunidades locales y grupos organizados, legalmente constituidos. Otros Motivos:</t>
    </r>
  </si>
  <si>
    <r>
      <t xml:space="preserve">Porcentaje de proyectos beneficiarios que entregan los informes de avance de obra en los plazos establecidos por el programa 
</t>
    </r>
    <r>
      <rPr>
        <sz val="10"/>
        <rFont val="Soberana Sans"/>
        <family val="2"/>
      </rPr>
      <t xml:space="preserve"> Causa : El Consejo Nacional para la Cultura y las Artes deermina que el porcentaje de avance corresponde a los proyectos beneficiados con recursos del 2012, que han entregado los informes de obra y que han comprobado de manera parcial o total los recursos aportados y los trabajos realizados. En el caso de los proyectos que no han entregado, esto se debe a cambio en las administraciones estatales o municipales, lo cual generó un retraso en el inicio de las obras y el otorgamiento de los recursos de las contrapartes, sin embrago se tiene contacto con los responsables para finiquitar los compromisos a la brevedad. Efecto: El Consejo Nacional para la Cultura y las Artes deermina que El Fondo busca integrar y responsabilizar a la sociedad civil en la conservación y mantenimiento del patrimonio monumental y artístico de propiedad federal. Su finalidad es proteger, restaurar y conservar los bienes inmuebles y artísticos de propiedad Federal, está dirigida a las comunidades locales y grupos organizados e instituciones de las entidades federativas y municipales. Realizar programas, proyectos y obras tendientes a proteger, conservar y restaurar el patrimonio cultural en los monumentos históricos de propiedad federal y los bienes muebles que contienen, de conformidad con los lineamientos que en la materia dicte los Institutos Nacionales de Antropología e Historia y el de Bellas Artes. Conocer en forma cuantitativa y cualitativa el patrimonio cultural para determinar su estado de conservación y las necesidades de intervención que posibiliten establecer jerarquías y prioridades e integrar programas de actuación, administración y control. Fomentar la capacitación en todos los niveles, desde estudios de postgrado hasta técnicas artesanales de mano de obra especializada de los cuadros técnicos y operativos. Brindar permanentemente servicio de asistencia técnica y de apoyo a los estados, municipios y comunidades, con objeto de propiciar la participación local a través de una adecuada y oportuna atención en el desarrollo de proyectos y obras de restauración. ¿ Las instituciones de las entidades federativas ¿ Municipales ¿ Comunidades locales y grupos organizados, legalmente constituidos ¿ Objeto de los presentes beneficios, las instituciones en las entidades federativas, en los municipios, en las comunidades locales y grupos organizados, legalmente constituidos. Otros Motivos:</t>
    </r>
  </si>
  <si>
    <r>
      <t xml:space="preserve">Porcentaje en el número de solicitudes recibidas con respecto al año anterior
</t>
    </r>
    <r>
      <rPr>
        <sz val="10"/>
        <rFont val="Soberana Sans"/>
        <family val="2"/>
      </rPr>
      <t xml:space="preserve"> Causa : El Consejo Nacional para la Cultura y las Artes determina que al cuarto trimestre se alcanzó un porcentaje del 89.20% del universo de cobertura programado,de acuerdo al total de los proyectos beneficiados con recursos federales y a la selección de proyectos realizada por la comisión dictaminadora y aprobada por el comité ejecutivo del FOREMOBA.  En este ejercicio fiscal 2013 el Programa FOREMOBA, se vio afectado por una reducción presupuestal del 20.45% de su presupuesto original, por lo cual no fue posible alcanzar las metas programadas inicialmente Efecto: El Consejo Nacional para la Cultura y las Artes determina que El Fondo busca integrar y responsabilizar a la sociedad civil en la conservación y mantenimiento del patrimonio monumental y artístico de propiedad federal. Su finalidad es proteger, restaurar y conservar los bienes inmuebles y artísticos de propiedad Federal, está dirigida a las comunidades locales y grupos organizados e instituciones de las entidades federativas y municipales. Realizar programas, proyectos y obras tendientes a proteger, conservar y restaurar el patrimonio cultural en los monumentos históricos de propiedad federal y los bienes muebles que contienen, de conformidad con los lineamientos que en la materia dicte los Institutos Nacionales de Antropología e Historia y el de Bellas Artes. Conocer en forma cuantitativa y cualitativa el patrimonio cultural para determinar su estado de conservación y las necesidades de intervención que posibiliten establecer jerarquías y prioridades e integrar programas de actuación, administración y control. Fomentar la capacitación en todos los niveles, desde estudios de postgrado hasta técnicas artesanales de mano de obra especializada de los cuadros técnicos y operativos. Brindar permanentemente servicio de asistencia técnica y de apoyo a los estados, municipios y comunidades, con objeto de propiciar la participación local a través de una adecuada y oportuna atención en el desarrollo de proyectos y obras de restauración. ¿ Las instituciones de las entidades federativas ¿ Municipales ¿ Comunidades locales y grupos organizados, legalmente constituidos ¿ Objeto de los presentes beneficios, las instituciones en las entidades federativas, en los municipios, en las comunidades locales y grupos organizados, legalmente constituidos. Otros Motivos:</t>
    </r>
  </si>
  <si>
    <r>
      <t xml:space="preserve">Porcentaje de proyectos completos e incompletos que son recibidos con respecto a las solicitudes recibidas en el año en curso
</t>
    </r>
    <r>
      <rPr>
        <sz val="10"/>
        <rFont val="Soberana Sans"/>
        <family val="2"/>
      </rPr>
      <t xml:space="preserve"> Causa : El Consejo Nacional para la Cultura y las Artes determina que el porcentaje de proyectos completos con respecto al total de proyectos recibidos, disminuyó en este ejercicio debido al retraso en los trámites de la publicación de la convocatoria, alcanzando un 89.21%. Efecto: El Consejo Nacional para la Cultura y las Artes determina que El Fondo busca integrar y responsabilizar a la sociedad civil en la conservación y mantenimiento del patrimonio monumental y artístico de propiedad federal. Su finalidad es proteger, restaurar y conservar los bienes inmuebles y artísticos de propiedad Federal, está dirigida a las comunidades locales y grupos organizados e instituciones de las entidades federativas y municipales. Realizar programas, proyectos y obras tendientes a proteger, conservar y restaurar el patrimonio cultural en los monumentos históricos de propiedad federal y los bienes muebles que contienen, de conformidad con los lineamientos que en la materia dicte los Institutos Nacionales de Antropología e Historia y el de Bellas Artes. Conocer en forma cuantitativa y cualitativa el patrimonio cultural para determinar su estado de conservación y las necesidades de intervención que posibiliten establecer jerarquías y prioridades e integrar programas de actuación, administración y control. Fomentar la capacitación en todos los niveles, desde estudios de postgrado hasta técnicas artesanales de mano de obra especializada de los cuadros técnicos y operativos. Brindar permanentemente servicio de asistencia técnica y de apoyo a los estados, municipios y comunidades, con objeto de propiciar la participación local a través de una adecuada y oportuna atención en el desarrollo de proyectos y obras de restauración. ¿ Las instituciones de las entidades federativas ¿ Municipales ¿ Comunidades locales y grupos organizados, legalmente constituidos ¿ Objeto de los presentes beneficios, las instituciones en las entidades federativas, en los municipios, en las comunidades locales y grupos organizados, legalmente constituidos. Otros Motivos:</t>
    </r>
  </si>
  <si>
    <r>
      <t xml:space="preserve">Porcentaje de los proyectos integrados completos con respecto a los proyectos completos e incompletos recibidos en el año en curso
</t>
    </r>
    <r>
      <rPr>
        <sz val="10"/>
        <rFont val="Soberana Sans"/>
        <family val="2"/>
      </rPr>
      <t xml:space="preserve"> Causa : El Consejo Nacional para la Cultura y las Artes determina que el porcentaje de proyectos completos con respecto al total de proyectos recibidos, disminuyó en este ejercicio debido al retraso en los trámites de la publicación de la convocatoria, alcanzando un 89.21%. Efecto: El Fondo busca integrar y responsabilizar a la sociedad civil en la conservación y mantenimiento del patrimonio monumental y artístico de propiedad federal. Su finalidad es proteger, restaurar y conservar los bienes inmuebles y artísticos de propiedad Federal, está dirigida a las comunidades locales y grupos organizados e instituciones de las entidades federativas y municipales. Realizar programas, proyectos y obras tendientes a proteger, conservar y restaurar el patrimonio cultural en los monumentos históricos de propiedad federal y los bienes muebles que contienen, de conformidad con los lineamientos que en la materia dicte los Institutos Nacionales de Antropología e Historia y el de Bellas Artes. Conocer en forma cuantitativa y cualitativa el patrimonio cultural para El Consejo Nacional para la Cultura y las Artes determina que su estado de conservación y las necesidades de intervención que posibiliten establecer jerarquías y prioridades e integrar programas de actuación, administración y control. Fomentar la capacitación en todos los niveles, desde estudios de postgrado hasta técnicas artesanales de mano de obra especializada de los cuadros técnicos y operativos. Brindar permanentemente servicio de asistencia técnica y de apoyo a los estados, municipios y comunidades, con objeto de propiciar la participación local a través de una adecuada y oportuna atención en el desarrollo de proyectos y obras de restauración. ¿ Las instituciones de las entidades federativas ¿ Municipales ¿ Comunidades locales y grupos organizados, legalmente constituidos ¿ Objeto de los presentes beneficios, las instituciones en las entidades federativas, en los municipios, en las comunidades locales y grupos organizados, legalmente constituidos. Otros Motivos:</t>
    </r>
  </si>
  <si>
    <t>S221</t>
  </si>
  <si>
    <t>Programa Escuelas de Tiempo Completo</t>
  </si>
  <si>
    <t>Contribuir a mejorar las oportunidades de aprendizaje , reflejadas en el logro académico de los alumnos de las escuelas públicas de educación básica, mediante la ampliación de la jornada escolar.</t>
  </si>
  <si>
    <r>
      <t>Variación porcentual en el logro académico de los alumnos de escuelas incorporadas al Programa Escuelas de Tiempo Completo.</t>
    </r>
    <r>
      <rPr>
        <i/>
        <sz val="10"/>
        <color indexed="30"/>
        <rFont val="Soberana Sans"/>
        <family val="3"/>
      </rPr>
      <t xml:space="preserve">
Indicador Seleccionado</t>
    </r>
  </si>
  <si>
    <t>(sumatoria ((sumatoria ETC en el año t) - (sumatoria ETC en el año t -1)) / sumatoria ETC en el año t -1) - (sumatoria ((sumatoria NoETC en año t) - (sumatoria NoETC en el año t -1))/ sumatoria NoETC en el año t -1) *100</t>
  </si>
  <si>
    <t>Escuelas públicas de educación básica amplían su jornada escolar para mejorar las oportunidades de aprendizaje de los alumnos.</t>
  </si>
  <si>
    <r>
      <t>Porcentaje de escuelas incorporadas al Programa en relación a la meta proyectada para el mismo año.</t>
    </r>
    <r>
      <rPr>
        <i/>
        <sz val="10"/>
        <color indexed="30"/>
        <rFont val="Soberana Sans"/>
        <family val="3"/>
      </rPr>
      <t xml:space="preserve">
</t>
    </r>
  </si>
  <si>
    <t>(Número de escuelas incorporadas al Programa en el año t / Número de escuelas proyectadas a incorporarse en el Programa en el año t)*100</t>
  </si>
  <si>
    <t>A Recursos federales a las Entidades Federativas participantes para la adecuada implementación y operación del Programa, transferidos.</t>
  </si>
  <si>
    <r>
      <t xml:space="preserve">Porcentaje de recursos federales transferidos a las entidades </t>
    </r>
    <r>
      <rPr>
        <i/>
        <sz val="10"/>
        <color indexed="30"/>
        <rFont val="Soberana Sans"/>
        <family val="3"/>
      </rPr>
      <t xml:space="preserve">
</t>
    </r>
  </si>
  <si>
    <t>((Importe de los recursos federales transferidos a las Entidades Federativas participantes en el Programa en el año t / Importe asignado a subsidios del Programa en año t)*100</t>
  </si>
  <si>
    <t>B Documentos normativos para la operación del Programa difundidos.</t>
  </si>
  <si>
    <r>
      <t>Porcentaje de documentos normativos del Programa difundidos en las Entidades Federativas participantes.</t>
    </r>
    <r>
      <rPr>
        <i/>
        <sz val="10"/>
        <color indexed="30"/>
        <rFont val="Soberana Sans"/>
        <family val="3"/>
      </rPr>
      <t xml:space="preserve">
</t>
    </r>
  </si>
  <si>
    <t>(Número de documentos normativos enviados a las Entidades Federativas participantes en el año t / Número de documentos normativos actualizados en el año t)*100</t>
  </si>
  <si>
    <t>C Formación de las Coordinaciones Estatales sobre la implementación, seguimiento y rendición de cuentas del Programa realizada.</t>
  </si>
  <si>
    <r>
      <t>Porcentaje de Coordinaciones Estatales con formación recibida</t>
    </r>
    <r>
      <rPr>
        <i/>
        <sz val="10"/>
        <color indexed="30"/>
        <rFont val="Soberana Sans"/>
        <family val="3"/>
      </rPr>
      <t xml:space="preserve">
</t>
    </r>
  </si>
  <si>
    <t>(Número de Coordinaciones Estatales con formación recibida en el año t / Número de Coordinaciones Estatales participantes en el Programa en el año t)*100</t>
  </si>
  <si>
    <t>Coordinadores estatales</t>
  </si>
  <si>
    <t>A 1 Obtención del instrumento que compromete la participación oficial en el Programa.</t>
  </si>
  <si>
    <r>
      <t>Porcentaje de Entidades Federativas participantes en el Programa que comprometieron oficialmente su participación.</t>
    </r>
    <r>
      <rPr>
        <i/>
        <sz val="10"/>
        <color indexed="30"/>
        <rFont val="Soberana Sans"/>
        <family val="3"/>
      </rPr>
      <t xml:space="preserve">
</t>
    </r>
  </si>
  <si>
    <t>(Número de instrumentos de participación obtenidos en la Coordinación Nacional en el año t /Entidades federativas participantes en el Programa en el año t)*100</t>
  </si>
  <si>
    <t>B 2 Documentos normativos para la operación del Programa actualizados.</t>
  </si>
  <si>
    <r>
      <t>Porcentaje de documentos normativos del Programa actualizados.</t>
    </r>
    <r>
      <rPr>
        <i/>
        <sz val="10"/>
        <color indexed="30"/>
        <rFont val="Soberana Sans"/>
        <family val="3"/>
      </rPr>
      <t xml:space="preserve">
</t>
    </r>
  </si>
  <si>
    <t>(Número de documentos normativos actualizados en el año t / Número de documentos normativos existentes en el año t -1)*100</t>
  </si>
  <si>
    <t>C 3 Realización de reuniones nacionales y regionales con los actores estratégicos del Programa.</t>
  </si>
  <si>
    <r>
      <t>Porcentaje de reuniones nacionales y regionales realizadas.</t>
    </r>
    <r>
      <rPr>
        <i/>
        <sz val="10"/>
        <color indexed="30"/>
        <rFont val="Soberana Sans"/>
        <family val="3"/>
      </rPr>
      <t xml:space="preserve">
</t>
    </r>
  </si>
  <si>
    <t>(Número de Reuniones nacionales y regionales  realizadas en el año t / Reuniones nacionales y regionales programadas en el año t)*100</t>
  </si>
  <si>
    <r>
      <t xml:space="preserve">Variación porcentual en el logro académico de los alumnos de escuelas incorporadas al Programa Escuelas de Tiempo Completo.
</t>
    </r>
    <r>
      <rPr>
        <sz val="10"/>
        <rFont val="Soberana Sans"/>
        <family val="2"/>
      </rPr>
      <t xml:space="preserve"> Causa : La Secretaría de Educación Pública estableció en el programa presupuestario S221 para el ejercicio 2013, el indicador estratégico ¿Variación porcentual en el logro académico de los alumnos de escuelas incorporadas al Programa Escuelas de Tiempo Completo¿, como un indicador de eficacia. Al cierre del año, se logró la meta programada para este este indicador, con lo cual se alcanzó un porcentaje de cumplimiento de 100.00%. Este comportamiento se explica principalmente por lo siguiente:   . La Dirección General de Desarrollo de la Gestión e Innovación Educativa informa que la meta se cumplió satisfactoriamente debido a que la variación porcentual en el logro académico de los alumnos de escuelas incorporadas al Programa Escuelas de Tiempo Completo es de 95 por ciento, lo cual indica una mejora en el logro educativo en los alumnos que participan en dichas escuelas. Debido a que es un indicador de reciente creación los resultados se consideran favorables para el desarrollo del programa.     Efecto: Los beneficios económicos y sociales alcanzados con los resultados de este indicador de fin, contribuyeron a:   . Los resultados reflejan que los alumnos que están en escuelas de tiempo completo cuentan con una educación integral mediante el fortalecimiento de los aprendizajes y la alimentación, lo que impacta notablemente en la mejora del logro educativo de los alumnos que asisten a escuelas que amplían su jornada.    Otros Motivos:</t>
    </r>
  </si>
  <si>
    <r>
      <t xml:space="preserve">Porcentaje de escuelas incorporadas al Programa en relación a la meta proyectada para el mismo año.
</t>
    </r>
    <r>
      <rPr>
        <sz val="10"/>
        <rFont val="Soberana Sans"/>
        <family val="2"/>
      </rPr>
      <t xml:space="preserve"> Causa : La meta  se rebasó ya que se alcanzaron 15,349 escuelas incorporadas al Programa, debido a que se implementaron mecanismos diferenciados de atención de escuelas en el ciclo escolar 2013-2014, la meta se rebasó en un 50.48, respecto a la meta programada de escuelas incorporadas al Programa, con respecto a la meta del año anterior hay un crecimiento de 128.81 por ciento en las escuelas beneficiadas por el programa. Asimismo el crecimiento se debe a que el programa incorporó escuelas en el marco de la Cruzada Nacional Contra el Hambre (405 municipios) y en el Programa Nacional para la Prevención Social de la Violencia y la Delincuencia (100 demarcaciones).    Efecto: En el ciclo escolar 2013-2014 se benefician a 15,349 escuelas de tiempo completo, de las cuales 8,641 son nuevas en el programa y 6,708 que operan con el esquema anterior, en beneficio de 2.1 millones de alumnos de los cueles 799,312 reciben alimentos calientes, lo cual les permite la mejora del logro educativo.   Otros Motivos:</t>
    </r>
  </si>
  <si>
    <r>
      <t xml:space="preserve">Porcentaje de recursos federales transferidos a las entidades 
</t>
    </r>
    <r>
      <rPr>
        <sz val="10"/>
        <rFont val="Soberana Sans"/>
        <family val="2"/>
      </rPr>
      <t xml:space="preserve"> Causa : Se transfirió el total de 6,018,382,959.9 recursos  a las Entidades Federativas participantes en el Programa por lo que la meta se cumplió satisfactoriamente, y se rebasó en un 9.4 por ciento  de acuerdo a lo programado ya que se autorizaron más recursos para enviar a las entidades federativas.   Con respecto al año anterior hay un crecimiento del 106 por ciento de recursos transferidos a las entidades federativas.    Efecto: El impacto que se tienen es que se incrementó la meta en un 50.48 por ciento de escuelas beneficiadas.    Otros Motivos:</t>
    </r>
  </si>
  <si>
    <r>
      <t xml:space="preserve">Porcentaje de documentos normativos del Programa difundidos en las Entidades Federativas participantes.
</t>
    </r>
    <r>
      <rPr>
        <sz val="10"/>
        <rFont val="Soberana Sans"/>
        <family val="2"/>
      </rPr>
      <t xml:space="preserve"> Causa : La meta se cumplio satisfactorimente ya que se envíaron a las entidades federativas tres documentos normativos para la implmentación del Programa. Efecto: Con esto se mantienen actualizadas a las entidades federativas para implementar el programa con base en cumplimiento a la normatividad aplicable. Otros Motivos:</t>
    </r>
  </si>
  <si>
    <r>
      <t xml:space="preserve">Porcentaje de Coordinaciones Estatales con formación recibida
</t>
    </r>
    <r>
      <rPr>
        <sz val="10"/>
        <rFont val="Soberana Sans"/>
        <family val="2"/>
      </rPr>
      <t xml:space="preserve"> Causa : La meta se cumplió satisfactoriamente debido a que las 32 Coordinaciones Estatales participaron en la formación para la implementación, seguimiento y rendición de cuentas del Programa. Efecto: Esto permite impactar en la implementación del programa ya que mediante estas acciones de capacitación se establecen líneas de trabajo para que las escuelas se incorporen de manera rápida y constante. Otros Motivos:</t>
    </r>
  </si>
  <si>
    <r>
      <t xml:space="preserve">Porcentaje de Entidades Federativas participantes en el Programa que comprometieron oficialmente su participación.
</t>
    </r>
    <r>
      <rPr>
        <sz val="10"/>
        <rFont val="Soberana Sans"/>
        <family val="2"/>
      </rPr>
      <t xml:space="preserve"> Causa : La meta se cumplió satisfactoriamente ya que se recibieron por parte de las 32 entidades las cartas compromiso en las que manifiestan su compromiso de participación en el programa    Efecto: Con la formalización  de las cartas compromiso se formaliza la meta  de escuelas a beneficiar y la participación de las 32 entidades federativas para la implementación del programa.   Otros Motivos:</t>
    </r>
  </si>
  <si>
    <r>
      <t xml:space="preserve">Porcentaje de documentos normativos del Programa actualizados.
</t>
    </r>
    <r>
      <rPr>
        <sz val="10"/>
        <rFont val="Soberana Sans"/>
        <family val="2"/>
      </rPr>
      <t xml:space="preserve"> Causa : La meta se cumplió satisfactoriamente ya que se actualizaron  tres documentos normativos para la implementación del Programa.   Efecto: Con esto se mantiene  actualizadas a las entidades federativas para implementar el programa con base en cumplimiento a la normatividad aplicable.   Otros Motivos:</t>
    </r>
  </si>
  <si>
    <r>
      <t xml:space="preserve">Porcentaje de reuniones nacionales y regionales realizadas.
</t>
    </r>
    <r>
      <rPr>
        <sz val="10"/>
        <rFont val="Soberana Sans"/>
        <family val="2"/>
      </rPr>
      <t xml:space="preserve"> Causa : La meta se cumplio satisfactorimente ya que realizaron tres talleres de capacitación sobre la propuesta pedagógica del PETC:  1. ¿Equipos operativos de Escuelas de Tiempo Completo¿, celebrado en  Pachuca-Hidalgo.  2. Taller: ¿Los Desafíos Matemáticos en las ETC, celebrado en el DF.   3. Seminario Estatal celebrado en Guaymas, Sonora.  -Reunión Nacional: ¿Estrategia estatal de formación dirigida a maestros que participan en Escuelas de Tiempo Completo¿.  -Taller: ¿Servicio de alimentación en Escuelas de Tiempo Completo en el estado de México¿.   Efecto: Esto permite impactar en la implementación del programa ya que mediante estas reuniones se establecen líneas de trabajo para que las escuelas se incorporen de manera rápida y constante.  Otros Motivos:</t>
    </r>
  </si>
  <si>
    <t>U006</t>
  </si>
  <si>
    <t>Subsidios federales para organismos descentralizados estatales</t>
  </si>
  <si>
    <t xml:space="preserve">Contribuir a ampliar la cobertura de los servicios de educación media superior y educación superior pública, mediante la asignación de recursos.  </t>
  </si>
  <si>
    <r>
      <t xml:space="preserve">Cobertura de educación media superior pública </t>
    </r>
    <r>
      <rPr>
        <i/>
        <sz val="10"/>
        <color indexed="30"/>
        <rFont val="Soberana Sans"/>
        <family val="3"/>
      </rPr>
      <t xml:space="preserve">
</t>
    </r>
  </si>
  <si>
    <t>(Alumnos inscritos en instituciones de educación media superior pública en el ciclo escolar N / Población de 16 a18 años de edad en el ciclo escolar N) X 100</t>
  </si>
  <si>
    <r>
      <t xml:space="preserve">Cobertura de educación superior pública </t>
    </r>
    <r>
      <rPr>
        <i/>
        <sz val="10"/>
        <color indexed="30"/>
        <rFont val="Soberana Sans"/>
        <family val="3"/>
      </rPr>
      <t xml:space="preserve">
</t>
    </r>
  </si>
  <si>
    <t>(Alumnos inscritos en instituciones de educación superior públicas (no incluye posgrado) en el ciclo escolar N / Población de 19 a 23 años de edad en el ciclo escolar N) X 100</t>
  </si>
  <si>
    <r>
      <t>Cobertura de COLBACH y CECYTES en educación media superior pública</t>
    </r>
    <r>
      <rPr>
        <i/>
        <sz val="10"/>
        <color indexed="30"/>
        <rFont val="Soberana Sans"/>
        <family val="3"/>
      </rPr>
      <t xml:space="preserve">
</t>
    </r>
  </si>
  <si>
    <t>(Alumnos inscritos en COLBACH y CECYTES en el ciclo escolar N / Población de 15 a 19 años en el ciclo escolar N) x 100</t>
  </si>
  <si>
    <t xml:space="preserve">1 La demanda de servicios de educación pública media superior y superior de los estados es atendida.                                                      </t>
  </si>
  <si>
    <r>
      <t>Porcentaje de absorción de la educación superior de Organismos Descentralizados Estatales.</t>
    </r>
    <r>
      <rPr>
        <i/>
        <sz val="10"/>
        <color indexed="30"/>
        <rFont val="Soberana Sans"/>
        <family val="3"/>
      </rPr>
      <t xml:space="preserve">
Indicador Seleccionado</t>
    </r>
  </si>
  <si>
    <t>(Porcentaje de alumnos inscritos de nuevo ingreso en Organismos Descentralizados Estatales de educación superior en el año calendario actual / Los alumnos egresados del nivel educativo inmediato anterior en el año calendario actual) *100</t>
  </si>
  <si>
    <r>
      <t xml:space="preserve"> Porcentaje de absorción de la educación media superior de Organismos Descentralizados Estatales.(COLBACH y CECYTES)</t>
    </r>
    <r>
      <rPr>
        <i/>
        <sz val="10"/>
        <color indexed="30"/>
        <rFont val="Soberana Sans"/>
        <family val="3"/>
      </rPr>
      <t xml:space="preserve">
Indicador Seleccionado</t>
    </r>
  </si>
  <si>
    <t>(Alumnos  de nuevo ingreso en COLBACH y CECYTES en el ciclo escolar actual / Alumnos egresados del nivel de educación básica en el ciclo escolar anterior n) x 100</t>
  </si>
  <si>
    <t xml:space="preserve">A Recursos radicados en organismos descentralizados estatales de educación media superior, formación para el trabajo y superior pública.                                                                                                                                                           </t>
  </si>
  <si>
    <r>
      <t xml:space="preserve"> Monto promedio de recursos radicados a Organismos Descentralizados Estatales de Educación Superior Universitaria</t>
    </r>
    <r>
      <rPr>
        <i/>
        <sz val="10"/>
        <color indexed="30"/>
        <rFont val="Soberana Sans"/>
        <family val="3"/>
      </rPr>
      <t xml:space="preserve">
</t>
    </r>
  </si>
  <si>
    <t>(Presupuesto total autorizado en el PEF en el año N / Total de Organismos Descentralizados Estatales de Educación Superior Universitaria)</t>
  </si>
  <si>
    <t>Recurso federal asignado</t>
  </si>
  <si>
    <r>
      <t>Monto promedio de recursos radicados por alumno inscrito a Organismos Descentralizados Estatales de Educación Superior Universitaria.</t>
    </r>
    <r>
      <rPr>
        <i/>
        <sz val="10"/>
        <color indexed="30"/>
        <rFont val="Soberana Sans"/>
        <family val="3"/>
      </rPr>
      <t xml:space="preserve">
</t>
    </r>
  </si>
  <si>
    <t xml:space="preserve">(Presupuesto total autorizado en el PEF en el año N / Total de alumnos inscritos en Organismos Descentralizados Estatales de Educación Superior Universitaria en el año N) </t>
  </si>
  <si>
    <r>
      <t>Monto promedio de recursos radicados por alumno inscrito a  Organismos Descentralizados Estatales de Educación Media Superior y Formación para el Trabajo</t>
    </r>
    <r>
      <rPr>
        <i/>
        <sz val="10"/>
        <color indexed="30"/>
        <rFont val="Soberana Sans"/>
        <family val="3"/>
      </rPr>
      <t xml:space="preserve">
</t>
    </r>
  </si>
  <si>
    <t xml:space="preserve">(Presupuesto total autorizado en el PEF en el año N / Total de alumnos inscritos en organismos descentralizados estatales de educación media superior y formación para el trabajo en el año N) </t>
  </si>
  <si>
    <t>Alumno inscrito</t>
  </si>
  <si>
    <r>
      <t xml:space="preserve"> Monto promedio de recursos radicados a  Organismos Descentralizados Estatales  de Educación Media Superior y Formación para el Trabajo</t>
    </r>
    <r>
      <rPr>
        <i/>
        <sz val="10"/>
        <color indexed="30"/>
        <rFont val="Soberana Sans"/>
        <family val="3"/>
      </rPr>
      <t xml:space="preserve">
</t>
    </r>
  </si>
  <si>
    <t xml:space="preserve">(Presupuesto total autorizado en el PEF en el año N / Total de Organismos Descentralizados Estatales de educación media superior y formación para el trabajo en el año N) </t>
  </si>
  <si>
    <t>Plantel apoyado</t>
  </si>
  <si>
    <r>
      <t>Monto promedio de recursos radicados a Organismos Descentralizados Estatales de Educación Superior Tecnológica</t>
    </r>
    <r>
      <rPr>
        <i/>
        <sz val="10"/>
        <color indexed="30"/>
        <rFont val="Soberana Sans"/>
        <family val="3"/>
      </rPr>
      <t xml:space="preserve">
</t>
    </r>
  </si>
  <si>
    <t>(Presupuesto total autorizado en el PEF en el año N / Total de Organismos Descentralizados Estatales de Educación Superior Tecnológica)</t>
  </si>
  <si>
    <t>Recurso Federal Asignado</t>
  </si>
  <si>
    <t>Estratégico-Economía-Anual</t>
  </si>
  <si>
    <r>
      <t>Monto promedio de recursos radicados por alumno inscrito a Organismos Descentralizados Estatales de Educación Superior Tecnológica</t>
    </r>
    <r>
      <rPr>
        <i/>
        <sz val="10"/>
        <color indexed="30"/>
        <rFont val="Soberana Sans"/>
        <family val="3"/>
      </rPr>
      <t xml:space="preserve">
</t>
    </r>
  </si>
  <si>
    <t>(Presupuesto total autorizado en el PEF en el año N / Total de alumnos inscritos en Organismos Descentralizados Estatales de Educación Superior Tecnológica en el año N)</t>
  </si>
  <si>
    <r>
      <t>Monto promedio de recursos radicados por alumno inscrito a Organismos Descentralizados Estatales de Universidades Tecnológicas</t>
    </r>
    <r>
      <rPr>
        <i/>
        <sz val="10"/>
        <color indexed="30"/>
        <rFont val="Soberana Sans"/>
        <family val="3"/>
      </rPr>
      <t xml:space="preserve">
</t>
    </r>
  </si>
  <si>
    <t>(Presupuesto total autorizado en el PEF en el año N / Total de alumnos inscritos en Organismos Descentralizados Estatales de Universidades Tecnológicas en el año N)</t>
  </si>
  <si>
    <r>
      <t>Monto promedio de recursos radicados a Organismos Descentralizados Estatales de Universidades Tecnológicas</t>
    </r>
    <r>
      <rPr>
        <i/>
        <sz val="10"/>
        <color indexed="30"/>
        <rFont val="Soberana Sans"/>
        <family val="3"/>
      </rPr>
      <t xml:space="preserve">
</t>
    </r>
  </si>
  <si>
    <t>(Presupuesto total autorizado en el PEF en el año N / Total de Organismos Descentralizados Estatales de Universidades Tecnológicas)</t>
  </si>
  <si>
    <t xml:space="preserve">A 1 1.1  Gestionar recursos para organismos descentralizados estatales de educación media superior, formación para el trabajo y superior pública                                                               </t>
  </si>
  <si>
    <r>
      <t>Porcentaje de recursos gestionados</t>
    </r>
    <r>
      <rPr>
        <i/>
        <sz val="10"/>
        <color indexed="30"/>
        <rFont val="Soberana Sans"/>
        <family val="3"/>
      </rPr>
      <t xml:space="preserve">
</t>
    </r>
  </si>
  <si>
    <t>(Presupuesto total gestionado en el año N / Presupuesto total autorizado en el PEF en el año N) X 100</t>
  </si>
  <si>
    <r>
      <t xml:space="preserve">Cobertura de educación media superior pública 
</t>
    </r>
    <r>
      <rPr>
        <sz val="10"/>
        <rFont val="Soberana Sans"/>
        <family val="2"/>
      </rPr>
      <t xml:space="preserve"> Causa : 600: La diferencia entre la meta alcanzada y la programada se debe a la creciente demanda del servicio educativo del nivel medio superior. Efecto: 600: Se contribuye a ampliar la cobertura de la educación media superior de jóvenes de entre 15 y 17 años. De acuerdo a lo establecido en el PROSEDU a partir del 2014 se toma como referente a los jóvenes de entre 15 y 17 años como población potencial para este indicador.    Otros Motivos:</t>
    </r>
  </si>
  <si>
    <r>
      <t xml:space="preserve">Cobertura de educación superior pública 
</t>
    </r>
    <r>
      <rPr>
        <sz val="10"/>
        <rFont val="Soberana Sans"/>
        <family val="2"/>
      </rPr>
      <t xml:space="preserve"> Causa : 511: Se cumplió la meta establecida al 100 por ciento.   513: La meta se supera en un 5.32 % de lo programado debido a la apertura de nuevos programas de estudio y la creación de un nuevo centro de trabajo, I. T. de Estudios Superiores de Chicoloapan en el Estado de México.   514: La meta se cumplió en un 99.40% al registrase una matrícula menor por 1502 alumnos menos a la estimada. Esto se debe a un incremento en la deserción de alumnos inscritos en el Subsistema de Universidades Tecnológicas y Politécnicas. Las condiciones económicas y laborales no motivan a la población objetivo en continuar estudios de educación superior; además de la falta de conocimientos de los alumnos para concluir sus estudios de educación superior.    Efecto: 511: El programa permitió cubrir la meta de cobertura de alumnos en nivel superior programada por lo que los Organismos Descentralizados Estatales cubrieron la demanda de servicios educativos en las diversas entidades federativas   513: Se atiende las necesidades de educación superior en una región carente de instituciones de este nivel, registrando una demanda significativa, Y al crear programas de estudio acorde a los requerimientos del lugar,se crea mano de obra requerida por la industria local.    514: La población objetivo no muestra interés en continuar estudios de educación superior, repercutiendo en su calidad de vida y en el crecimiento económico del país.    Otros Motivos:</t>
    </r>
  </si>
  <si>
    <r>
      <t xml:space="preserve">Cobertura de COLBACH y CECYTES en educación media superior pública
</t>
    </r>
    <r>
      <rPr>
        <sz val="10"/>
        <rFont val="Soberana Sans"/>
        <family val="2"/>
      </rPr>
      <t xml:space="preserve"> Causa : 600: La diferencia entre la meta alcanzada y la programada se debe a la creciente demanda del servicio educativo del nivel medio superior   Efecto: 600: Se contribuye a ampliar la cobertura de la educación media superior de jóvenes de entre 15 y 17 años. De acuerdo a lo establecido en el PROSEDU a partir del 2014 se toma como referente a los jóvenes de entre 15 y 17 años como población potencial para este indicador    Otros Motivos:</t>
    </r>
  </si>
  <si>
    <r>
      <t xml:space="preserve">Porcentaje de absorción de la educación superior de Organismos Descentralizados Estatales.
</t>
    </r>
    <r>
      <rPr>
        <sz val="10"/>
        <rFont val="Soberana Sans"/>
        <family val="2"/>
      </rPr>
      <t xml:space="preserve"> Causa : La Secretaría de Educación Pública estableció en el programa presupuestario U006 para el ejercicio 2013, el indicador estratégico Porcentaje de absorción de la educación superior de Organismos Descentralizados Estatales, como un indicador de eficacia. Al cierre del año, se alcanzó un porcentaje de absorción en educación superior del 47.66%, lo que representa haber atendido a un total de 522 414 alumnos de nuevo ingreso en este nivel educativo, logrando con ello un cumplimiento de 101.86 % con respecto a la meta aprobada.     Debido a que para la realización de la meta participan diversas unidades responsables, el comportamiento global del indicador se explica con la información que reporta cada una de ellas:     La Dirección General de Educación Superior Universitaria (DGESU) cumplió su meta de atender a 237 135 alumnos de nuevo ingreso en Organismos Descentralizados Estatales de Educación Superior, lo que significa un porcentaje de absorción de 21.63% para este año. La meta se alcanzó al 100.0 %, permitiendo a los ODES cubrir la demanda de servicios educativos en las entidades.     La Dirección General de Educación Superior Tecnológica (DGEST) reporta una atención a 185 000 alumnos, lo que representa haber logrado un porcentaje de absorción del 16.88, debido a la apertura de nuevos programas de estudio y la creación de un nuevo centro de trabajo, I. T. de Estudios Superiores de Chicoloapan en el Estado de México.     La Coordinación General de Universidades Tecnológicas (CGUT) superó la meta programada al atender a 100 279 alumnos de nuevo ingreso. Lo anterior debido a una mayor demanda de los servicios en las Universidades Tecnológicas y Politécnicas, para cursar estudios de educación superior            Efecto: Los beneficios económicos y sociales alcanzados con este indicador de propósito, contribuyeron a:    La DGESU alcanzó el 100.0% en la atención de alumnos, coadyuvando a mantener el nivel de atención de la demanda de servicios de educación pública de nivel superior en las entidades federativas.     La DGEST señaló que el efecto socioeconómico es incrementar la actividad productiva  económica y social en las localidades de mayor marginación, manteniendo a la población joven en sus localidades y evitando su migración a las grandes ciudades o al extranjero.    La CGUT destacó que con el incremento en su meta se contribuirá a ampliar la cobertura de educación superior, elevar el nivel de logro educativo de los usuarios de los servicios de educación superior y por consiguiente, su nivel de vida            Otros Motivos:</t>
    </r>
  </si>
  <si>
    <r>
      <t xml:space="preserve"> Porcentaje de absorción de la educación media superior de Organismos Descentralizados Estatales.(COLBACH y CECYTES)
</t>
    </r>
    <r>
      <rPr>
        <sz val="10"/>
        <rFont val="Soberana Sans"/>
        <family val="2"/>
      </rPr>
      <t xml:space="preserve"> Causa : La Secretaría de Educación Pública estableció en el programa presupuestario U006 para el ejercicio 2013, el indicador estratégico ¿Porcentaje de absorción de la educación media superior de Organismos Descentralizados Estatales (COLBACH y CECYTES)¿, como un indicador de eficacia. Al cierre del año, se logró una meta de 21.97%, lo que representa un cumplimiento de 94.00% con respecto a la meta programada.   . La Subsecretaría de Educación Media Superior señala que se logró incorporar a 392 451 alumnos en Colegios de Bachilleres (COLBACH) y Centros de Estudios Científicos y Tecnológicos (CECyTES), que egresaron de la educación básica en el ciclo escolar anterior.   . El número de alumnos incorporados en estos servicios educativos de nivel media superior se encuentra por debajo de lo programado; sin embargo, esto se debe a que ha aumentado la diversidad de la oferta en el servicio de educación media superior.     Efecto: Los beneficios económicos y sociales obtenidos con los resultados alcanzados de este indicador de propósito, contribuyeron a:   . Cumplir con la  cobertura de la educación media superior. En este sentido, como se mencionó anteriormente, en este indicador se mide el porcentaje de absorción solo de los servicios educativos que proporcionan los Organismos Descentralizados Estatales en la modalidad de COLBACH y CECYTES. La diversidad de la oferta en el servicio de educación media superior, permite a los jóvenes para continuar con sus proyectos de vida, brindándoles la posibilidad de ingresar al nivel superior y que contribuyan al desarrollo nacional.         Otros Motivos:Para mayor información acerca de las causas de las variaciones entre la meta alcanzada y la meta original del indicador consultar el documento Análisis del Cumplimiento de los Indicadores para Resultados de la Secretaría de Educación Pública, correspondiente a la Cuenta de la Hacienda Pública Federal 2013. </t>
    </r>
  </si>
  <si>
    <r>
      <t xml:space="preserve"> Monto promedio de recursos radicados a Organismos Descentralizados Estatales de Educación Superior Universitaria
</t>
    </r>
    <r>
      <rPr>
        <sz val="10"/>
        <rFont val="Soberana Sans"/>
        <family val="2"/>
      </rPr>
      <t xml:space="preserve"> Causa : 511: Las variaciones presentadas en el presupuesta se debió a que la SHCP autorizo ampliaciones liquidas al presupuesto autorizado en el PEF 2013   Efecto: 511: Los Organismos Descentralizados Estatales consolidaron su operación, lo que les permitió desarrollar sus actividades y servicios.   Otros Motivos:</t>
    </r>
  </si>
  <si>
    <r>
      <t xml:space="preserve">Monto promedio de recursos radicados por alumno inscrito a Organismos Descentralizados Estatales de Educación Superior Universitaria.
</t>
    </r>
    <r>
      <rPr>
        <sz val="10"/>
        <rFont val="Soberana Sans"/>
        <family val="2"/>
      </rPr>
      <t xml:space="preserve"> Causa : 511: La meta se cumplió al 100 por ciento. La SHCP autorizo ampliaciones de recursos para diversas UPE, lo cual modificó el total de recursos en un 5.39 por ciento.   Efecto: 511: Las variaciones que se presentaron se debió a que dicho programa recibió de la SHCP ampliaciones al presupuesto autorizado en el PEF 2013 a diversas UPE, lo que permitió radicar los recursos programados a los Organismos Descentralizados Estatales en tiempo para su operación.   Otros Motivos:</t>
    </r>
  </si>
  <si>
    <r>
      <t xml:space="preserve">Monto promedio de recursos radicados por alumno inscrito a  Organismos Descentralizados Estatales de Educación Media Superior y Formación para el Trabajo
</t>
    </r>
    <r>
      <rPr>
        <sz val="10"/>
        <rFont val="Soberana Sans"/>
        <family val="2"/>
      </rPr>
      <t xml:space="preserve"> Causa : 600: Se apoyo a un total de 2,778 ODES de Educación Media Superior, que cuentan con una matrícula total de 1 762,852.   Efecto: 600: Se continuó brindando el servicio educativo de educación media superior.   Otros Motivos:</t>
    </r>
  </si>
  <si>
    <r>
      <t xml:space="preserve"> Monto promedio de recursos radicados a  Organismos Descentralizados Estatales  de Educación Media Superior y Formación para el Trabajo
</t>
    </r>
    <r>
      <rPr>
        <sz val="10"/>
        <rFont val="Soberana Sans"/>
        <family val="2"/>
      </rPr>
      <t xml:space="preserve"> Causa : 600: La diferencia entre la meta programada y la alcanzada se debe a que en 2013 se contó con un presupuesto original de 13,116 126,790.00; el cual se modificó a 15,178 066,106.30.   Efecto: 600: Se continuo brindando el servicio educativo en los Organismos Descentralizados Estatales.   Otros Motivos:</t>
    </r>
  </si>
  <si>
    <r>
      <t xml:space="preserve">Monto promedio de recursos radicados a Organismos Descentralizados Estatales de Educación Superior Tecnológica
</t>
    </r>
    <r>
      <rPr>
        <sz val="10"/>
        <rFont val="Soberana Sans"/>
        <family val="2"/>
      </rPr>
      <t xml:space="preserve"> Causa : ¿ La Secretaría de Educación Pública estableció en el programa presupuestario U006 para el ejercicio 2013, el indicador estratégico ¿Porcentaje de absorción de la educación media superior de Organismos Descentralizados Estatales (COLBACH y CECYTES)¿, como un indicador de eficacia. Al cierre del año, se logró una meta de 21.97%, lo que representa un cumplimiento de 94.01% con respecto a la meta programada.  ¿ La Subsecretaría de Educación Media Superior señala que se logró incorporar a 392 451 alumnos en Colegios de Bachilleres (COLBACH) y Centros de Estudios Científicos y Tecnológicos (CECyTES), que egresaron de la educación básica en el ciclo escolar anterior.  ¿ El número de alumnos incorporados en estos servicios educativos de nivel media superior se encuentra por debajo de lo programado; sin embargo, esto se debe a que ha aumentado la diversidad de la oferta en el servicio de educación media superior.    Efecto: ¿ Los beneficios económicos y sociales obtenidos con los resultados alcanzados en este indicador de propósito, contribuyeron a:  ¿ Cumplir con la  cobertura de la educación media superior. En este sentido, como se mencionó anteriormente, en este indicador se mide el porcentaje de absorción solo de los servicios educativos que proporcionan los Organismos Descentralizados Estatales en la modalidad de COLBACH y CECYTES. La diversidad de la oferta en el servicio de educación media superior, permite a los jóvenes para continuar con sus proyectos de vida, brindándoles la posibilidad de ingresar al nivel superior y que contribuyan al desarrollo nacional.     Otros Motivos:</t>
    </r>
  </si>
  <si>
    <r>
      <t xml:space="preserve">Monto promedio de recursos radicados por alumno inscrito a Organismos Descentralizados Estatales de Educación Superior Tecnológica
</t>
    </r>
    <r>
      <rPr>
        <sz val="10"/>
        <rFont val="Soberana Sans"/>
        <family val="2"/>
      </rPr>
      <t xml:space="preserve"> Causa : 513: La asignación de los recursos federales fue menor a los estimados, mientras que la matrícula fue mayor a la proyectada de 185000 a 194846. Teniendo como promedio por alumno $ 14,087.21.   Efecto: 513: El apoyo otorgado se ve disminuido en un 7.58% al calculado en relación a lo proyectado.   Otros Motivos:</t>
    </r>
  </si>
  <si>
    <r>
      <t xml:space="preserve">Monto promedio de recursos radicados por alumno inscrito a Organismos Descentralizados Estatales de Universidades Tecnológicas
</t>
    </r>
    <r>
      <rPr>
        <sz val="10"/>
        <rFont val="Soberana Sans"/>
        <family val="2"/>
      </rPr>
      <t xml:space="preserve"> Causa : 514: Derivado de los recursos asignados a este programa por la cantidad de $2,642,463,749.00, el costo por alumno inscrito en universidades tecnológicas de 190,188 alumnos es de $13,893.95 (trece mil ochocientos noventa y tres pesos 95/100 pesos); Se asignaron 6 millones adicionales a lo programado, para financiar a la Universidades Politécnica de la Región Laguna en el Estado de Coahuila, así como a la Universidad Politécnica de Otzolotepec y Universidad Politécnica de Atlautla en el Estado de México. Por consiguiente el costo por alumno se incrementó, al dividir el recurso proporcionado de $706,000,000.00 de pesos entre 62,147 alumnos inscritos en Universidades politécnicas.   Efecto: 514: Se contribuye a dar atención a la demanda de los servicios de educación superior en universidades tecnológicas.; Se contribuye a ampliar la cobertura de educación superior al crear las Universidades Politécnicas de Atlautla en el Estado de México.   Otros Motivos:</t>
    </r>
  </si>
  <si>
    <r>
      <t xml:space="preserve">Monto promedio de recursos radicados a Organismos Descentralizados Estatales de Universidades Tecnológicas
</t>
    </r>
    <r>
      <rPr>
        <sz val="10"/>
        <rFont val="Soberana Sans"/>
        <family val="2"/>
      </rPr>
      <t xml:space="preserve"> Causa : 514: La diferencia se debe al presupuesto asignado en el PEF para el programa el cual fue menor en    1,223,211.58 al monto promedio estimado para cada organismos descentralizado (universidades Tecnológicas. El monto se deriva de dividir el recurso asigando por $2,642,463,749.00 entre 108 universidades tecnológicas y la universidad aeroáutica en Querétaro;  La diferencia se debe a que se asignaron 6 millones adicionales a lo programado, para financiar a la Universidades Politécnica de la Región Laguna en el Estado de Coahuila, así como a la Universidad Politécnica de Otzolotepec y Universidad Politécnica de Atlautla en el Estado de México, por consiguiente el monto promedio de los recursos asignados a las 57 universidades politécnicas fue de 12,385,964.91   Efecto: 514: Si bein es cierto que se procura hacer más eficiente el gasto, la reducción pone en peligro la operación de las instituciones educativas, al no contar con los recursos mínimos necesarios para atender la demanda de este tipo de servicios de educación superior.; Contribuye a incrementar la cobertura de la demanda de los servicios de educación superior, al crear nuevas instituciones educativas.   Otros Motivos:</t>
    </r>
  </si>
  <si>
    <r>
      <t xml:space="preserve">Porcentaje de recursos gestionados
</t>
    </r>
    <r>
      <rPr>
        <sz val="10"/>
        <rFont val="Soberana Sans"/>
        <family val="2"/>
      </rPr>
      <t xml:space="preserve"> Causa : 511: Se recibió diversas ampliaciones al presupuesto del programa en el ejercicio presupuestal 2013 para distintas UPE.  513: Se ejerció el total de recursos federales asignados en este año, a 130 planteles (se contemplaban dos planteles como descentralizados que finalmente fueros de tipo federal)   514: La meta se alcanzó .23% de lo estimado debido al presupuesto asignado pen el PEF para la operación de las universidades tecnológicas.; La meta se rebasó en un .85% debido a que se asignaron 6 millones adicionales a lo programado, para financiar a la Universidades Politécnica de la Región Laguna en el Estado de Coahuila, así como a la Universidad Politécnica de Otzolotepec y Universidad Politécnica de Atlautla en el Estado de México.  600: En 2013 se contó con un presupuesto original de 13,116 126,790.00; el cual se modificó a 15,178 066,106.30 que se ejerció al 100%.   Efecto: 511: La empliación de recursos al programa permitió a las UPE beneficiadas contar con mayor recurso y alcanzar sus metas.  513: Las necesidades en cuanto a gastos de operación de los Institutos Tecnológicos Descentralizados fueron atendidas, con oportunidad.  514: Se puede poner en riesgo la operación de las universidades tecnológicas, al no contar con los recursos mínimos necesarios para la operación de éstas, en perjuicio de la calidad de los servisios que prestan.; Se contribuye a aumentar la cobertura mediante la creación de nuevas universidades politécnicas,  600: Se continuó brindando el servicio educativo en los Organismos Descentralizados Estatales de Educación Media Superior.   Otros Motivos:</t>
    </r>
  </si>
  <si>
    <t>U008</t>
  </si>
  <si>
    <t>Fondo de Apoyo para Saneamiento Financiero de las UPES por Abajo de la Media Nacional en Subsidio por Alumno (Fondo de concurso para propuestas de saneamiento financiero)</t>
  </si>
  <si>
    <t>Contribuir a atender los problemas estructurales de las instituciones de educación superior mediante el incremento de costo por alumno en las Universidades Publicas Estatales.</t>
  </si>
  <si>
    <r>
      <t>Porcentaje de reducción de la brecha de costo por alumno a nivel nacional de las Universidades Públicas Estatales por debajo de la media.</t>
    </r>
    <r>
      <rPr>
        <i/>
        <sz val="10"/>
        <color indexed="30"/>
        <rFont val="Soberana Sans"/>
        <family val="3"/>
      </rPr>
      <t xml:space="preserve">
</t>
    </r>
  </si>
  <si>
    <t>(Promedio de costo por alumno por debajo de la media nacional en el programa en el año T / Promedio de costo por alumno a nivel nacional en el año T) * 100</t>
  </si>
  <si>
    <t>Alumno Apoyado</t>
  </si>
  <si>
    <t>Las Universidades Públicas Estatales que están por debajo de la media en subsidio por alumno sanean sus finanzas.</t>
  </si>
  <si>
    <r>
      <t>Porcentaje de incremento en el costo promedio de subsidio por alumno  por debajo de la media.</t>
    </r>
    <r>
      <rPr>
        <i/>
        <sz val="10"/>
        <color indexed="30"/>
        <rFont val="Soberana Sans"/>
        <family val="3"/>
      </rPr>
      <t xml:space="preserve">
Indicador Seleccionado</t>
    </r>
  </si>
  <si>
    <t>(Costo promedio por alumno año T / Costo Promedio por alumno año T-1) -1 X 100</t>
  </si>
  <si>
    <t>A Convenios para la asignación de recursos formalizados.</t>
  </si>
  <si>
    <r>
      <t>Porcentaje de convenios para la ministración de recursos formalizados.</t>
    </r>
    <r>
      <rPr>
        <i/>
        <sz val="10"/>
        <color indexed="30"/>
        <rFont val="Soberana Sans"/>
        <family val="3"/>
      </rPr>
      <t xml:space="preserve">
</t>
    </r>
  </si>
  <si>
    <t>(Total de convenios debidamente requisitados en el año T / Total de Universidades Publicas Estatales que recibieron recursos en el año T) X100</t>
  </si>
  <si>
    <t>Convenio firmado</t>
  </si>
  <si>
    <t>A 1 Entrega de reportes trimestrales elaborados por las Universidades Públicas Estatales</t>
  </si>
  <si>
    <r>
      <t>Porcentaje de reportes financieros entregados  por las Universidades Publicas Estatales al cierre del año fiscal.</t>
    </r>
    <r>
      <rPr>
        <i/>
        <sz val="10"/>
        <color indexed="30"/>
        <rFont val="Soberana Sans"/>
        <family val="3"/>
      </rPr>
      <t xml:space="preserve">
</t>
    </r>
  </si>
  <si>
    <t>(Total de informes financieros al cierre del año fiscal año T / total de informes financieros esperados al cierre del año T) X100</t>
  </si>
  <si>
    <t>Informe</t>
  </si>
  <si>
    <r>
      <t xml:space="preserve">Porcentaje de reducción de la brecha de costo por alumno a nivel nacional de las Universidades Públicas Estatales por debajo de la media.
</t>
    </r>
    <r>
      <rPr>
        <sz val="10"/>
        <rFont val="Soberana Sans"/>
        <family val="2"/>
      </rPr>
      <t xml:space="preserve"> Causa : La Meta se alcanzó al 100 por ciento. Efecto: Las UPE cumplieron con la finalidad de mantener el porcentaje de alumnos apoyados, mediante el incremento del costo por alumno registrado. Otros Motivos:</t>
    </r>
  </si>
  <si>
    <r>
      <t xml:space="preserve">Porcentaje de incremento en el costo promedio de subsidio por alumno  por debajo de la media.
</t>
    </r>
    <r>
      <rPr>
        <sz val="10"/>
        <rFont val="Soberana Sans"/>
        <family val="2"/>
      </rPr>
      <t xml:space="preserve"> Causa : La Secretaría de Educación Pública estableció en el programa presupuestario U008 para el ejercicio 2013, el indicador estratégico Porcentaje de incremento en el costo promedio de subsidio por alumno por debajo de la media, como un indicador de eficacia. Al cierre del año, el costo promedio por alumno se mantuvo conforme a lo programado en 45,574 pesos en promedio, con lo que la meta de este indicador alcanzó el 100%, logrando un porcentaje de cumplimiento conforme a lo originalmente previsto. Este comportamiento se explica principalmente por lo siguiente:     . La UR Dirección General de Educación Superior Universitaria a través del Fondo de Apoyo para Saneamiento Financiero de las UPES por Abajo de la Media Nacional en Subsidio por Alumno (Fondo de concurso para propuestas de saneamiento financiero) informa que la meta se alcanzó al 100%, con lo cual disminuyó de manera importante el saneamiento de las finanzas de las 15 Universidades Públicas Estatales (UPES) beneficiarias del Programa en el ejercicio 2013       Efecto: Los beneficios económicos y sociales alcanzados con los resultados de este indicador de propósito, contribuyeron a:   . Que las 15 UPES mantuvieron el nivel de alumnos atendidos que se tenía programado.      Otros Motivos:</t>
    </r>
  </si>
  <si>
    <r>
      <t xml:space="preserve">Porcentaje de convenios para la ministración de recursos formalizados.
</t>
    </r>
    <r>
      <rPr>
        <sz val="10"/>
        <rFont val="Soberana Sans"/>
        <family val="2"/>
      </rPr>
      <t xml:space="preserve"> Causa : Se cumplió la meta planeada. Efecto: Debido a la asignación de recursos por la H Cámara de Diputados de los 14 convenios establecidos se asignó uno más quedando 15 UPE beneficiadas, la meta programada se rebasó permitiendo que una institución más contara con los recursos adicionales necesarios.    Otros Motivos:</t>
    </r>
  </si>
  <si>
    <r>
      <t xml:space="preserve">Porcentaje de reportes financieros entregados  por las Universidades Publicas Estatales al cierre del año fiscal.
</t>
    </r>
    <r>
      <rPr>
        <sz val="10"/>
        <rFont val="Soberana Sans"/>
        <family val="2"/>
      </rPr>
      <t xml:space="preserve"> Causa : El universo de cobertura se planteó con 64 informes anuales, cumpliendo las UPE con 44 informes debido a que algunas instituciones conjuntaron los reportes. Efecto: Esto permitió que las UPE a través de los reportes den certeza de la utilización de los recursos del fondo para los fines establecidos en el programa. Otros Motivos:</t>
    </r>
  </si>
  <si>
    <t>U018</t>
  </si>
  <si>
    <t>Programa de becas</t>
  </si>
  <si>
    <t>B00-Instituto Politécnico Nacional</t>
  </si>
  <si>
    <t>Contribuir a la permanencia y el egreso de la población estudiantil, mediante el otorgamiento de becas a estudiantes de educación media superior, superior y posgrado, que permitan elevar el nivel de escolaridad.</t>
  </si>
  <si>
    <r>
      <t>Porcentaje de alumnos egresados beneficiados.</t>
    </r>
    <r>
      <rPr>
        <i/>
        <sz val="10"/>
        <color indexed="30"/>
        <rFont val="Soberana Sans"/>
        <family val="3"/>
      </rPr>
      <t xml:space="preserve">
</t>
    </r>
  </si>
  <si>
    <t>(Alumnos egresados beneficados en el año N / Total de alumnos egresados en el año N) * 100</t>
  </si>
  <si>
    <t>Los alumnos beneficiados con una beca de educación media superior, superior y posgrado concluyen el periodo escolar.</t>
  </si>
  <si>
    <r>
      <t>Porcentaje de permanencia escolar de la población beneficiada.</t>
    </r>
    <r>
      <rPr>
        <i/>
        <sz val="10"/>
        <color indexed="30"/>
        <rFont val="Soberana Sans"/>
        <family val="3"/>
      </rPr>
      <t xml:space="preserve">
</t>
    </r>
  </si>
  <si>
    <t>(Beneficiarios que concluyen el periodo escolar N / Beneficiarios al inicio del periodo escolar N) * 100</t>
  </si>
  <si>
    <t>A Becas del nivel superior otorgadas.</t>
  </si>
  <si>
    <r>
      <t>Porcentaje de alumnos becados del nivel superior.</t>
    </r>
    <r>
      <rPr>
        <i/>
        <sz val="10"/>
        <color indexed="30"/>
        <rFont val="Soberana Sans"/>
        <family val="3"/>
      </rPr>
      <t xml:space="preserve">
Indicador Seleccionado</t>
    </r>
  </si>
  <si>
    <t>(Total de becarios del nivel superior en el año N / Matrícula del nivel superior en el año N) * 100</t>
  </si>
  <si>
    <t>B Becas del nivel medio superior otorgadas.</t>
  </si>
  <si>
    <r>
      <t>Porcentaje de alumnos becados del nivel medio superior.</t>
    </r>
    <r>
      <rPr>
        <i/>
        <sz val="10"/>
        <color indexed="30"/>
        <rFont val="Soberana Sans"/>
        <family val="3"/>
      </rPr>
      <t xml:space="preserve">
Indicador Seleccionado</t>
    </r>
  </si>
  <si>
    <t>(Total de becarios del nivel medio superior en el año N / Matrícula de nivel medio superior en el año N) * 100</t>
  </si>
  <si>
    <t>C Becas del nivel de posgrado otorgadas.</t>
  </si>
  <si>
    <r>
      <t>Porcentaje de alumnos becados/apoyados del nivel de posgrado.</t>
    </r>
    <r>
      <rPr>
        <i/>
        <sz val="10"/>
        <color indexed="30"/>
        <rFont val="Soberana Sans"/>
        <family val="3"/>
      </rPr>
      <t xml:space="preserve">
Indicador Seleccionado</t>
    </r>
  </si>
  <si>
    <t>(Total de becarios del nivel de posgrado en el año N / Matrícula del nivel posgrado en el año N) * 100</t>
  </si>
  <si>
    <t>D Becas y/o Apoyos a Docentes de los niveles medio superior, superior y posgrado otorgados.</t>
  </si>
  <si>
    <r>
      <t>Porcentaje de docentes becados y/o apoyados de nivel medio superior, superior y posgrado</t>
    </r>
    <r>
      <rPr>
        <i/>
        <sz val="10"/>
        <color indexed="30"/>
        <rFont val="Soberana Sans"/>
        <family val="3"/>
      </rPr>
      <t xml:space="preserve">
</t>
    </r>
  </si>
  <si>
    <t>(Total de docentes becados y/o apoyados el año N / Total de docentes que solicitan una beca y/o apoyo en el año N) * 100</t>
  </si>
  <si>
    <t>A 1 Validación de solicitudes para el otorgamiento de becas del nivel superior.</t>
  </si>
  <si>
    <r>
      <t>Porcentaje de solicitudes de becas validadas del nivel superior.</t>
    </r>
    <r>
      <rPr>
        <i/>
        <sz val="10"/>
        <color indexed="30"/>
        <rFont val="Soberana Sans"/>
        <family val="3"/>
      </rPr>
      <t xml:space="preserve">
</t>
    </r>
  </si>
  <si>
    <t>(Número de solicitudes validadas en el año N / Número de solicitudes recibidas en el año N) * 100</t>
  </si>
  <si>
    <t>B 2 Validación de solicitudes para el otorgamiento de becas de nivel medio superior.</t>
  </si>
  <si>
    <r>
      <t>Porcentaje de solicitudes de becas validadas del nivel medio superior.</t>
    </r>
    <r>
      <rPr>
        <i/>
        <sz val="10"/>
        <color indexed="30"/>
        <rFont val="Soberana Sans"/>
        <family val="3"/>
      </rPr>
      <t xml:space="preserve">
</t>
    </r>
  </si>
  <si>
    <t>C 3 Validación de solicitudes para el otorgamiento de becas de nivel posgrado.</t>
  </si>
  <si>
    <r>
      <t>Porcentaje de solicitudes de becas validadas del nivel de posgrado.</t>
    </r>
    <r>
      <rPr>
        <i/>
        <sz val="10"/>
        <color indexed="30"/>
        <rFont val="Soberana Sans"/>
        <family val="3"/>
      </rPr>
      <t xml:space="preserve">
</t>
    </r>
  </si>
  <si>
    <r>
      <t xml:space="preserve">Porcentaje de alumnos egresados beneficiados.
</t>
    </r>
    <r>
      <rPr>
        <sz val="10"/>
        <rFont val="Soberana Sans"/>
        <family val="2"/>
      </rPr>
      <t xml:space="preserve"> Causa : 500: Se incrementó el numero de beneficiarios del programa que egreso oportunamente de sus estudios.611 Debido a que el CENIDET avaló nuevamente el programa de estudios de la "Especialización Ingeniería en Mecatrónica" y a la disposición y empeño de los docentes beneficiados con una beca para capacitarse en esa especialización.A00: n mayor número de alumnos beneficiados con beca PRONABES concluyeron sus estudios a nivel licenciatura, de manera satisfactoria.A2M:  Incremento de alumnos becados en los últimos trimestres lo cual propicia la conclusión de estudios como resultado de los esfuerzos y compromisos que tiene esta Casa de Estudios por apoyar a la comunidad universitaria.B00: La desviación que se presenta entre la meta alcanzada en relación a la programada, se debe a una disminución en los alumnos beneficiados con una beca, ya que algunos concluyeron la totalidad de sus programas académicos.D00: Se registraron 43 alumnos egresados que tuvieron beca a nivel Licenciatura.E00: se alcanzó la cifra de 143, debido a que aumentaron las solicitudes autorizadas para recibir una beca al cumplir con los requisitos establecidos.L3P: los estudiantes que fueron beneficiados con una beca, conluyen sus estudios.L5X: La estrategia implementada por el Colegio, incrementó los registros de  estudiantes becados que culminaron sus estudios satisfactoriamente.L8K: Cumplimiento de la meta inferior a lo establecido. Lo anterior se debió al cambio de generación de un estudiante del Doctorado en Economía de la generación 2010 - 2013 a la generación 2011 - 2014. MGH: No existe variación en la meta programada  Efecto: 500: El programa contribuye al egreso de la educación superior.   611: Contar con docentes capacitados para impartir la carrera de Mecatrónica.A00: elevar la eficiencia terminal como un objetivo prioritario. Al otorgar a nuestros estudiantes la posibilidad de contar con una beca, se combate la deserción escolar por motivos económicos A2M: El otorgamiento de una beca contribuye en cierta medida a atenuarlo. A3Q: disminuir los índices de deserción estudiantil por causas de orden económico. Un mayor número de alumnos de educación media superior, superior y posgrado concluyeron en los tiempos reglamentarios su educación. B00: Derivado de lo establecido en la normatividad aplicable en materia de becas; la falta de cumplimiento en los requisitos del programa con lleva que el beneficiario deje de ser elegible en el mismo. D00: Mayor número de alumnos egresados de Licenciatura que ingresan a nivel Posgrado. E00: Se ha logrado incrementar la eficiencia terminal en beneficio de la población estudiantil. L3P: El logro de esta meta, permite incidir en uno de los factores para que los estudiantes concluyan satisfactoriamente sus estudios. L5X: Las acciones realizadas tuvieron un efecto positivo, logrando incrementar la permanencia escolar de los alumnos beneficiados. L8K: Tiene un efecto positivo en razón de que el 98.98% de los alumnos inscritos en el último semestre de la promoción en curso logró terminar sus estudios de posgrado. MGH: Se cumple con la meta programada de 320 alumnos egresados en las diferentes especialidades que ofrece la Universidad, a los cuales se les benefició con beca económica; logrando así contribuir con técnico profesionales preparados a participar en el desarrollo de la grandeza del país.    Otros Motivos:</t>
    </r>
  </si>
  <si>
    <r>
      <t xml:space="preserve">Porcentaje de permanencia escolar de la población beneficiada.
</t>
    </r>
    <r>
      <rPr>
        <sz val="10"/>
        <rFont val="Soberana Sans"/>
        <family val="2"/>
      </rPr>
      <t xml:space="preserve"> Causa : 112: hubo becarios que no entregaron su documentación a tiempo500: Se incrementó el número de becarios que concluye el periodo escolar.600:  86.81 de los alumnos beneficiados, cumplieron los requisitos del proceso de validación, con lo que pudieron mantener la beca otorgada.611: Debido a que el CENIDET avaló "Especialización Ingeniería en Mecatrónica" se logró que al final del año 41 docentes permanecieran en la especialización.A00: mediante el programa de becas se combate el abandono escolarA2M: Asignación de un tutor, quien se encarga de brindar a los alumnos becados un seguimiento y orientación académica. Un mayor número de aspirantes a una beca cumple con los requisitos establecidos en la convocatoria  Suficiencia presupuestal que permitió asignar un mayor número de becasA3Q: como resultado principalmente de una mayor canalización de recursos fiscales y propios para incrementar la población beneficiada, por tanto el número de becarios que concluyeron el periodo escolar también se vió incrementado.B00: se realizaron diversas gestiones para un incremento en el número de becas para este ciclo escolar.D00: concluyeron el 4to trimestre un total de 871 alumnos con beca a nivel licenciatura.L3P: los beneficiados con una beca, tanto de Educación Media Superior como Superior, concluyen el periodo escolar. .L5X: Aún cuando la meta programada no se cumplió en términos absolutos, el indicador se supera en 2 puntos porcentuales.L8K: Lo anterior se debió a un considerable incremento de alumnos atendidos al inicio del ciclo escolar en 7 promociones académicas de nivel posgrado en el segundo semestre del año 2013; la demanda y la calidad académica de los candidatos permitió aceptar a un mayor número de estudiantes.   MGH: No existe variación en la meta programada de 1436 alumnos que permanecen en sus estudios.   Efecto: 112:   500: El programa contribuye a aumentar el número de estudiantes que termina de manera oportuna sus estudios durante el ciclo escolar.  600: Se contribuye a la permanencia de los alumnos de la educación media superior.  611: Contar con docentes capacitados para impartir la carrera de Mecatrónica representa un beneficio para todos los alumnos de los CETis y CBTis que cursan el Bachillerato Tecnológico en Mecatrónica,   A00: La UPN, sostiene el interés de contar con un mayor número de estudiantes que permanezcan y concluyan sus estudios de manera satisfactoria y que así, tengan la posibilidad de incorporarse al ámbito laboral o continuar sus estudios a nivel de posgrado.   A2M: El efecto socioeconómico de este indicador es el siguiente:  I. Los problemas de economía familiar orillan a cierto estrato de nuestros alumnos a contribuir al sustento con alta probabilidad de bajar su rendimiento académico y en última instancia al abandono de sus estudios.   A3Q: Un mayor número de alumnos de educación media superior, superior y posgrado concluyeron sus estudios profesionales en los tiempos reglamentarios.  B00: El incremento en la matrícula de ingreso en los tipos educativo medio superior y superior, origina un esfuerzo adicional para incrementar la cobertura de becas en el IPN.  D00: Aumento en el número de alumnos egresados.  L3P: La beca que reciben los estudiantes, tiene como objetivo propiciar la permanencia en sus estudios e impacta a los jóvenes de Educación Media Superior y Superior  L5X: El efecto socioeconómico consiste en que la eficacia del programa permitió elevar el nivel de permanencia.  L8K permitir una mayor cobertura educativa de calidad para la institución en los programas de posgrado que imparte y a su vez incrementando la población beneficiada con una beca.  MGH: La Universidad con el propósito de motivar a los alumnos a que permanezcan en sus estudios y gracias al apoyo federal, otorgó apoyo económico y así evitar la deserción escolar.   Otros Motivos:</t>
    </r>
  </si>
  <si>
    <r>
      <t xml:space="preserve">Porcentaje de alumnos becados del nivel superior.
</t>
    </r>
    <r>
      <rPr>
        <sz val="10"/>
        <rFont val="Soberana Sans"/>
        <family val="2"/>
      </rPr>
      <t xml:space="preserve"> Causa : Este indicador alcanzó una meta de 6.26%, lo que representa un total de 162 194 alumnos becados , logrando un cumplimiento de 109.82% respecto a la meta original programada. Debido a que para la realización de la meta participan diversas unidades responsables, el comportamiento global del indicador se explica con la información que reporta cada una de ellas:   La Dirección General de Relaciones Exteriores otorgó 74 becas para apoyar a estudiantes de este nivel educativo.   La Subsecretaría de Educación Superior informa que se beneficiaron a 56 602 becarios.La Universidad Pedagógica Nacional reporta que se otorgaron 2,068 becas.    La Universidad Autónoma Metropolitana superó la meta programada al llegar a 12 043 alumnos becadosEste incremento se debe a que los alumnos beneficiados con una beca han mantenido la regularidad en sus resultados académicos que se establecen en los planes de estudio,  La Universidad Nacional Autónoma de Méxicocomo resultado principalmente de una mayor canalización de recursos fiscales y propios para incrementar la población beneficiada a través de otorgamiento de becas, así como que dicha población presentó en tiempo y forma los requisitos establecidos para obtener la beca.    El Instituto Politécnico Nacional otorgó 45 122 becas a alumnos de educación superior.    El Instituto Nacional de Antropología e Historia reporta que se otorgaron 871 becas.   El Instituto Nacional de Bellas Artes y Literatura señala que se otorgaron 393 becas de nivel superior.En el Centro de Enseñanza Técnica Industrial se otorgaron en total 300 becas en el nivel superior.El Colegio de México, A.C. reporta que entregaron un total de 80 becas de manera oportuna durante 2013.    La Universidad Autónoma Agraria Antonio Narro otorgó 1 560 becas    Efecto: Los beneficios económicos y sociales alcanzados con los resultados de este indicador de componente, contribuyeron a:   La Subsecretaría de Educación Superior comenta que se otorgaron 6 602 becas más que las estimadas, con lo que se atiende a una cantidad mayor de jóvenes inscritos en la educación superior pública, lo que contribuye a que los alumnos concluyan sus estudios.   La Universidad Pedagógica Nacional promueve la permanencia escolar, la dedicación de tiempo completo y por lo tanto la eficiencia terminal. La Universidad Autónoma Metropolitana comenta que uno de los factores que contribuye al abandono de estudios es de tipo socioeconómico, por lo cual el apoyo económico otorgado, que representa una beca, si bien no resuelve el problema, sí contribuye a atenuarlo.    La Universidad Nacional Autónoma de México señala que la meta alcanzada permitió disminuir los índices de deserción estudiantil por causas de orden económico. Un mayor número de alumnos concluyeron en los tiempos reglamentarios su educación profesional.    Las becas otorgadas por el Instituto Politécnico Nacional contribuyen a disminuir la deserción escolar de los estudiantes inscritos en alguno de los programas educativos que se ofertan en esta casa de estudios.    El Instituto Nacional de Bellas Artes y Literatura contribuyó eficientemente a lograr la permanencia de un mayor número de alumnos del nivel superior de las escuelas del INBA.   El Centro de Enseñanza Técnica Industrial señala que la beca que reciben los estudiantes tiene como objetivo propiciar la permanencia en sus estudios e impacta a los jóvenes de Educación Media Superior y Superior.El Colegio de México, A.C. reporta que tiene un efecto positivo en la calidad de los servicios y el interés de los estudiantes por mantener las becas otorgadas.   La Universidad Autónoma Agraria Antonio Narro otorgó apoyo económico a alumnos de escasos recursos y/o alumnos con promedio sobresaliente, gracias al recurso recibido de la Federación.    Otros Motivos:Para mayor información acerca de las causas de las variaciones entre la meta alcanzada y la meta original del indicador consultar el documento Análisis del Cumplimiento de los Indicadores para Resultados de la Secretaría de Educación Pública, correspondiente a la Cuenta de la Hacienda Pública Federal 2013. </t>
    </r>
  </si>
  <si>
    <r>
      <t xml:space="preserve">Porcentaje de alumnos becados del nivel medio superior.
</t>
    </r>
    <r>
      <rPr>
        <sz val="10"/>
        <rFont val="Soberana Sans"/>
        <family val="2"/>
      </rPr>
      <t xml:space="preserve"> Causa : Al cierre del año, se otorgaron 869 269 becas de nivel medio superior, con lo cual este indicador alcanzó una meta de 19.56% de alumnos becados en este nivel educativo, logrando con ello un cumplimiento de 115.80% respecto a la meta original programada. Debido a que para la realización de la meta participan diversas unidades responsables, el comportamiento global del indicador se explica con la información que reporta cada una de ellas:   La Dirección General de Relaciones Exteriores otorgó 196 becas mediante el programa de Jóvenes en Acción   La Subsecretaría de Educación Media Superior otorgó 802 914 becas a alumnos del nivel medio superior.   La Universidad Nacional Autónoma de México alcanzó al término del ejercicio 2013 un porcentaje de alumnos becados en el nivel medio superior de 0.51 %, equivalente a 585 alumnos becados respecto de una matrícula de 113 988 alumnos de este nivel educativo   El Instituto Politécnico Nacional logró otorgar 10 127 becas a alumnos de la Educación Media Superior, con lo que supera su meta programada, derivado de que se realizaron diversas gestiones para un incremento en el número de becas para este ciclo escolar.   El Instituto Nacional de Bellas Artes y Literatura señala que se otorgaron 352 becas de nivel medio superior, superando la meta programada de este nivel educativo.   En el Centro de Enseñanza Técnica Industrial se otorgaron en total 715 becas, superando el número de becas que se entregaron en el ejercicio fiscal 2012.  Lo anterior, debido a que además del recurso federal, se destinaron recursos propios para beneficiar a un mayor número de estudiantes, tanto de Educación Media Superior como Superior y en sus dos planteles. La mitad de los alumnos beneficiados fueron con el recurso fiscal programado y la otra mitad fue de recursos propios.   El Colegio Nacional de Educación Profesional Técnica informó que se benefició un total de 54 380 alumnos durante el ejercicio fiscal 2013. Cabe  Efecto: Los beneficios económicos y sociales alcanzados con los resultados de este indicador de componente, contribuyeron a:   La Subsecretaría de Educación Media Superior señala que se logró beneficiar a un número mayor de estudiantes de Educación Media Superior lo que contribuye a que los alumnos continúen y concluyan sus estudios.   Los resultados de la Universidad Nacional Autónoma de México se reflejan en la disminución de los índices de deserción estudiantil por causas de orden económico, así como aumentar el número de alumnos que concluyen en los tiempos reglamentarios su educación profesional.   Las becas otorgadas por el Instituto Politécnico Nacional contribuyen a disminuir la deserción escolar de los estudiantes inscritos en alguno de los programas educativos que se ofertan en esta casa de estudios. Asimismo, se estimula el desempeño académico, así como la formación y desarrollo integral del alumno.   El Instituto Nacional de Bellas Artes y Literatura contribuyó a ampliar las oportunidades de una mejor educación, combatiendo la deserción escolar por falta de recursos económicos, lo cual se ha visto reflejado en un mayor número de alumnos apoyados.   El Centro de Enseñanza Técnica Industrial señala que la beca que reciben los estudiantes tiene como objetivo propiciar la permanencia en sus estudios e impacta a los jóvenes de Educación Media Superior y Superior, que estudian una carrera tecnológica en el CETI, ubicado en la zona metropolitana del estado de Jalisco.   ¿El Colegio Nacional de Educación Profesional Técnica señala que los resultados alcanzados se reflejan en los alumnos de escasos recursos con el otorgamiento de apoyo económico, y que ello coadyuva al sostenimiento de sus estudios.    Otros Motivos:Para mayor información acerca de las causas de las variaciones entre la meta alcanzada y la meta original del indicador consultar el documento Análisis del Cumplimiento de los Indicadores para Resultados de la Secretaría de Educación Pública, correspondiente a la Cuenta de la Hacienda Pública Federal 2013. </t>
    </r>
  </si>
  <si>
    <r>
      <t xml:space="preserve">Porcentaje de alumnos becados/apoyados del nivel de posgrado.
</t>
    </r>
    <r>
      <rPr>
        <sz val="10"/>
        <rFont val="Soberana Sans"/>
        <family val="2"/>
      </rPr>
      <t xml:space="preserve"> Causa : Al cierre del año, este indicador alcanzó una meta de 16.13%, lo que representa un total de 6 083 alumnos becados en este nivel educativo, logrando con ello un cumplimiento de 134.75% respecto a la meta original.  Debido a que para la realización de la meta participan diversas unidades responsables, el comportamiento global del indicador se explica con la información que reporta cada una de ellas:   La Dirección General de Relaciones Internacionales reporta que se entregaron 351 becas, debido a que algunos beneficiarios no entregaron la documentación a tiempo y se presentaron algunas renuncias.   La Universidad Nacional Autónoma de México reporta al cierre del ejercicio un porcentaje de alumnos becados en el nivel de posgrado de 12.84%, equivalente a 3 474 alumnos becados.   El Instituto Politécnico Nacional otorgó 597 becas de este nivel educativo, debido a que solo se presentaron 664 solicitudes de beca para la Convocatoria Ordinaria 2013-2014.   El Centro de Investigación y de Estudios Avanzados del Instituto Politécnico Nacional entregaron 1 342 apoyos, lo que significó un 2.44% de cumplimiento por encima de la meta programada. La variación se debe a la transferencia interna de recursos para apoyar el cumplimiento de la meta comprometida, en este programa presupuestario.   El Colegio de México, A.C. informa que se otorgaron 319 becas, con lo que superó la meta programada. o anterior se debió a un considerable incremento de alumnos atendidos al inicio del ciclo escolar en 7 promociones académicas de nivel posgrado en el segundo semestre del año 2013; la demanda y la calidad académica de los candidatos permitió aceptar a un mayor número de estudiantes.  Los programas docentes son: maestría en ciencia política 2013 - 2015, maestría en estudios urbanos 2013 - 2015, maestría en estudios de Asia y África 2013 - 2015, Doctorado en economía 2013 - 2016, doctorado en historia 2013 - 2016 y el doctorado en estudios urbanos y ambientales 2013 - 2017. Efecto: Los beneficios económicos y sociales alcanzados con los resultados de este indicador de componente, contribuyeron a:   La Dirección General de Relaciones Internacionales señala que con estos apoyos se benefició la  profesionalización de alumnos a nivel internacional.   La Universidad Nacional Autónoma de México menciona que la meta alcanzada permitió disminuir los índices de deserción estudiantil por causas de orden económico.  Por lo que un mayor número de alumnos concluyeron en los tiempos reglamentarios su educación profesional.   El Instituto Politécnico Nacional comenta que los efectos de las variaciones sobre el cumplimiento de la meta, obedecen al incremento de los  programas académicos de posgrado del Instituto al PNPC del CONACyT, lo que trae como consecuencia que un mayor número de alumnos solicita Beca del CONACyT.   El Centro de Investigación y de Estudios Avanzados del Instituto Politécnico Nacional coadyuvó a ampliar las oportunidades educativas de sus estudiantes de posgrado, mediante el otorgamiento de los apoyos económicos necesarios para asistir a eventos de divulgación científica y tecnológica, así como al complemento de su formación académica, lo que permitió apoyar el 1 342 estudiantes que contaron con los medios para tener acceso a un mayor bienestar y contribuir al desarrollo nacional, a través de sus logros educativos.   El Colegio de México, A.C. reporta un efecto positivo, lo que se refleja en una mayor cobertura educativa de calidad a través de los programas de posgrado que son impartidos por la institución.    Otros Motivos:Para mayor información acerca de las causas de las variaciones entre la meta alcanzada y la meta original del indicador consultar el documento Análisis del Cumplimiento de los Indicadores para Resultados de la Secretaría de Educación Pública, correspondiente a la Cuenta de la Hacienda Pública Federal 2013. </t>
    </r>
  </si>
  <si>
    <r>
      <t xml:space="preserve">Porcentaje de docentes becados y/o apoyados de nivel medio superior, superior y posgrado
</t>
    </r>
    <r>
      <rPr>
        <sz val="10"/>
        <rFont val="Soberana Sans"/>
        <family val="2"/>
      </rPr>
      <t xml:space="preserve"> Causa : 611: Debido que para este indicador se consideran generaciones cruzadas de un año y otro, en esta ocasión se logró que 33 docentes resultaran beneficiados para obtener la beca para acceder a la capacitación en la "Especialización en Ingeniería Mecatrónica" lo cual representa el 82.5% de la meta anual programada y en términos reales representa el 55.0% respecto al total de docentes que solicitan beca para cursar esta especialización.   L6H: - La meta fue superada, toda vez que en este nivel hubo más participación por la planta docente del Instituto Politécnico Nacional, para la Beca SIBE.- La meta no fue alcanzada, debido a que algunos profesores de la beca SIBE, solicitaron receso para ocupar cargo administrativo, así mismo existen suspensiones de beca por no tener vigente su estatus del Programa Institucional de Contratación de Personal Académico de Excelencia del Instituto Politécnico Nacional. Además que en la beca de estudio COFAA no se presentaron nuevas solicitudes.- La meta no fue alcanzada, debido a que algunos profesores de la beca SIBE, solicitaron receso para ocupar cargo administrativo, así mismo existen suspensiones de beca por no tener vigente su estatus del Programa Institucional de Contratación de Personal Académico de Excelencia del Instituto Politécnico Nacional. Además que en la beca de estudio COFAA no se presentaron nuevas solicitudes.    Efecto: 611: Contar con docentes capacitados para impartir la carrera de Mecatrónica representa un beneficio para todos los alumnos de los CETis y CBTis que cursan el Bachillerato Tecnológico en Mecatrónica, lo cual es benefico para la sociedad y para México, ya que es conveniente contar con mano de obra calificada y sobre todo si son de las carreras de las llamadas de nueva generación.   L6H: - Al cierre anual fue posible apoyar a profesores del Instituto Politécnico Nacional en un 6.00% con beca.-  Al cierre anual profesores del Instituto Politécnico Nacional solicitaron receso por cargo administrativo y suspensión de beca quedando tan solo debajo de la meta en un 2.17%.- Al cierre anual profesores del Instituto Politécnico Nacional solicitaron receso por cargo administrativo y suspensión de beca quedando tan solo debajo de la meta en un 6.75%.    Otros Motivos:</t>
    </r>
  </si>
  <si>
    <r>
      <t xml:space="preserve">Porcentaje de solicitudes de becas validadas del nivel superior.
</t>
    </r>
    <r>
      <rPr>
        <sz val="10"/>
        <rFont val="Soberana Sans"/>
        <family val="2"/>
      </rPr>
      <t xml:space="preserve"> Causa : 112: un beneficiario no entrego su documentación a tiempo   500: Se incrementó el número de solicitudes por parte de alumnos interesados en participar en el programa de becas.   A00: La variación de estas cifras depende del número de solicitantes de becas, así como de la cantidad de alumnos que cumplan con los requisitos de la convocatoria.   A2M: Un mayor número de solicitantes cumple con los requisitos establecidos en la convocatoria  y la suficiencia presupuestaria en 2013 para este programa, lo cual permitió la validación y asignación de un número mayor de becas. A3Q: incremento de las solicitudes recibidas que contaron con los requisitos establecidos en las convocatorias y el interés de los estudiantes por obtenerlas.    B00: La desviación que se presenta entre la meta alcanzada en relación a la programada, obedece a que únicamente se presentaron este número de aspirantes, los cuales cumplen con los requisitos para ser beneficiarios de una beca.   D00: debido a que los alumnos no cumplieron  los requisitos mínimos  para la adquisición de una beca.   E00: la asignación original fue superior a la expectativa, se realizó una redistribución del número de becas a otorgar buscando beneficiar al mayor número de alumnos posibles.   L3P: La meta no presenta variaciones con respecto a lo programado. MGH: No existe variación en la meta programada de 568 solicitudes validadas.    Efecto: 112:    500: Se revisaron las solicitudes que conforme a las convocatorias cumplían con los requisitos establecidos.   A00: Contar con un mayor número de solicitudes validadas implica la posibilidad de otorgar una mayor cantidad de becas y apoyar a un mayor número de alumnos que necesitan de la ayuda económica para continuar con sus estudios.   A2M: El otorgamiento de una beca no resuelve en su totalidad este problema pero contribuye a la igualdad de oportunidades para continuar y concluir los estudios del nivel licenciatura al ampliar los medios y formas de difusión de las convocatorias    A3Q: Este indicador perimitió brindar a la población estudiantil de las facultades, escuelas y unidades de educación superior (licenciatura) opciones para solicitar apoyo económico, ofreciendo con ello alternativas para evitar la deserción estudiantil por causas de orden económico.   B00: Derivado de lo establecido en la normatividad aplicable en materia de becas; la falta de cumplimiento en los requisitos del programa con lleva que el beneficiario deje de ser elegible en el mismo.   D00: Incremento en el número de alumnos becados a nivel  Licenciatura.   E00: Se ha contribuido eficientemente a lograr la permanencia de un mayor número de alumnos del nivel superior de las escuelas del INBA.    Otros Motivos:</t>
    </r>
  </si>
  <si>
    <r>
      <t xml:space="preserve">Porcentaje de solicitudes de becas validadas del nivel medio superior.
</t>
    </r>
    <r>
      <rPr>
        <sz val="10"/>
        <rFont val="Soberana Sans"/>
        <family val="2"/>
      </rPr>
      <t xml:space="preserve"> Causa : 112:    600: se recibieron mayor número de solicitudes.   611: Debido que para este indicador se consideran generaciones cruzadas de un año y otro, en esta ocasión se lograron validar 34 solicitudes de beca para obtener capacitación en la "Especialización en Ingeniería Mecatrónica.    A3Q: mayor recepción de solicitudes presentadas derivado del incremento en la matrícula del nivel.   B00: La desviación que se presenta entre la meta alcanzada en relación a la programada, obedece a que se realizaron diversas gestiones para un incremento en el número de becas para este ciclo escolar.   E00: la asignación original fue superior a la expectativa, se realizó una redistribución del número de becas a otorgar buscando beneficiar al mayor número de alumnos posibles.     L3P: se recibieron un mayor número de solicitudes, de las esperadas. Lo anterior para Educación Media Superior.   L5X: La meta alcanzada representa un 96.9% de la meta programada, en cuanto a la validación de solicitudes, sin embargo la cifra reportada corresponde al número de solicitudes que cumplieron con los requisitos establecidos en los lineamientos del programa    Efecto: 112:    600: Se tuvo una mayor demanda de becas.   611: Contar con docentes capacitados para impartir la carrera de Mecatrónica representa un beneficio para todos los alumnos de los CETis y CBTis que cursan el Bachillerato Tecnológico en Mecatrónica, lo cual es conveniente para contar con mano de obra calificada que contribuya al desarrollo de México.   A3Q: Los efectos socioeconómicos del alcance de metas del indicador permitieron brindar a la población estudiantil de las escuelas y colegios que imparten educación media superior en la Universidad y que no cuentan con con becas otorgadas por el Gobierno del DF y SEP opciones para solicitar apoyo económico, ofreciendo con ello alternativas para evitar la deserción estudiantil por causas de orden económico.   B00: El incremento en la matrícula de ingreso al tipo educativo medio superior, origina un esfuerzo adicional para incrementar la cobertura en becas para este sector de la población estudiantil.   E00: Se ha contribuido eficientemente a lograr la permanencia de un mayor número de alumnos del nivel medio superior de las escuelas del INBA.   L3P:  La beca que reciben los estudiantes tiene como objetivo propiciar la permanencia en sus estudios e impacta a los jóvenes de Educación Media Superior y Superior, que estudian una carrera tecnológica en el CETI, ubicado en la zona metropolitana del estado de Jalisco.    L5X: No existe un efecto negativo en el programa debido a que depende de los recursos presupuestarios autorizados para el otorgamiento de becas    Otros Motivos:</t>
    </r>
  </si>
  <si>
    <r>
      <t xml:space="preserve">Porcentaje de solicitudes de becas validadas del nivel de posgrado.
</t>
    </r>
    <r>
      <rPr>
        <sz val="10"/>
        <rFont val="Soberana Sans"/>
        <family val="2"/>
      </rPr>
      <t xml:space="preserve"> Causa : 112: No se alcanzó la meta estimada ya que por parte de los beneficiarios no se entrego la documentación a tiempo y hubó algunas renuncias   A3Q: Al cierre de 2013 el indicador "Porcentaje de solicitudes de becas y/o apoyos validadas del nivel posgrado" alcanzó una meta del 69.16 por ciento (equivalente a 3,474 solicitudes validades con respecto de 5,023 solicitudes presentadas) lo que reflejo un porcentaje de cumplimiento de 69.16 por ciento respecto de la meta original, ello como resultado principalmente de un mayor registro al estimado de solicitudes de becas derivado del incremento en la matrícula del nivel.    B00: Para el presente trimestre se recibieron en octubre 664 solicitudes de beca para la convocatoria 2013-2014, de las cuales únicamente se autorizaron 598 que cumplieron con las bases y requisitos correspondientes.    Efecto: 112:    A3Q: Los beneficios económicos y sociales presentados a través del indicador permitieron brindar a la población estudiantil de los centros e institutos que imparten educación superior (posgrado) opciones para solicitar apoyo económico, ofreciendo con ello alternativaspara evitar la descerción estudiantil por causas de orden económico, incentivando la productividad, permanencia e interés de la población universitaria del nivel de posgrado.   B00: El efecto que provoca es que la Dirección de Posgrado del IPN pretende ingresar todos sus programas de posgrado al PNPC del CONACyT y solo otorgar becas tesis.    Otros Motivos:</t>
    </r>
  </si>
  <si>
    <t>U019</t>
  </si>
  <si>
    <t>Apoyo a desregulados</t>
  </si>
  <si>
    <t>700-Oficialía Mayor</t>
  </si>
  <si>
    <t>6 - Otros Servicios Educativos y Actividades Inherentes</t>
  </si>
  <si>
    <t>Contribuir a ampliar el desarrollo educativo, cultural, científico y artístico del país a través de la atención a la población.</t>
  </si>
  <si>
    <r>
      <t>Tasa de crecimiento de personas atendidas</t>
    </r>
    <r>
      <rPr>
        <i/>
        <sz val="10"/>
        <color indexed="30"/>
        <rFont val="Soberana Sans"/>
        <family val="3"/>
      </rPr>
      <t xml:space="preserve">
</t>
    </r>
  </si>
  <si>
    <t>((Número de personas atendidas en el año T / Número de personas atendidas en el año T-1)-1) X 100</t>
  </si>
  <si>
    <t>Organismos desregulados son apoyados para ampliar la difusión cultural en todas sus manifestaciones.</t>
  </si>
  <si>
    <r>
      <t>Porcentaje de organismos desregulados apoyados</t>
    </r>
    <r>
      <rPr>
        <i/>
        <sz val="10"/>
        <color indexed="30"/>
        <rFont val="Soberana Sans"/>
        <family val="3"/>
      </rPr>
      <t xml:space="preserve">
Indicador Seleccionado</t>
    </r>
  </si>
  <si>
    <t>(Total de organismos desregulados apoyados con recursos económicos en el año n  / Total de organismos desregulados existentes en el año n) X 100</t>
  </si>
  <si>
    <t>A Apoyos gestionados para la operación de organismos desregulados.</t>
  </si>
  <si>
    <r>
      <t>Porcentaje de la gestión de recursos financieros a organismos desregulados</t>
    </r>
    <r>
      <rPr>
        <i/>
        <sz val="10"/>
        <color indexed="30"/>
        <rFont val="Soberana Sans"/>
        <family val="3"/>
      </rPr>
      <t xml:space="preserve">
</t>
    </r>
  </si>
  <si>
    <t>(Monto de recursos gestionados en el año T / Monto de recursos asignados en el año T) X 100</t>
  </si>
  <si>
    <t xml:space="preserve">A 1 Ministración de recursos en tiempo y forma a los organismos desregulados.          </t>
  </si>
  <si>
    <r>
      <t>Porcentaje de cuentas por liquidar pagadas</t>
    </r>
    <r>
      <rPr>
        <i/>
        <sz val="10"/>
        <color indexed="30"/>
        <rFont val="Soberana Sans"/>
        <family val="3"/>
      </rPr>
      <t xml:space="preserve">
</t>
    </r>
  </si>
  <si>
    <t>(Total de cuentas por liquidar pagadas / Total de cuentas por liquidar tramitadas) X 100</t>
  </si>
  <si>
    <r>
      <t xml:space="preserve">Tasa de crecimiento de personas atendidas
</t>
    </r>
    <r>
      <rPr>
        <sz val="10"/>
        <rFont val="Soberana Sans"/>
        <family val="2"/>
      </rPr>
      <t xml:space="preserve"> Causa : La diferencia entre la meta programada y la alcanzada, se debe a que se apoyaron 1957 personas atendidas (trabajadores pertenecientes al congreso del trabajo) más de las que originalmente se habían programado, y con respecto a 2012 se otorgaron apoyos a 2432 personas. Efecto: Se logro apoyar a  2432 trabajadores pertenecientes al congreso del trabajo Otros Motivos:</t>
    </r>
  </si>
  <si>
    <r>
      <t xml:space="preserve">Porcentaje de organismos desregulados apoyados
</t>
    </r>
    <r>
      <rPr>
        <sz val="10"/>
        <rFont val="Soberana Sans"/>
        <family val="2"/>
      </rPr>
      <t xml:space="preserve"> Causa : La Secretaría de Educación Pública estableció en el programa presupuestario U019 para el ejercicio 2013, el indicador estratégico Porcentaje de organismos desregulados apoyados, como un indicador de eficacia. Al cierre del año, se logró apoyar a 9 organismos desregulados con recursos económicos, con lo que la meta de este indicador se cumplió conforme a la meta programada para el año al alcanzar un porcentaje de cumplimiento de 100.00%.      Debido a que para la realización de la meta participan diversas unidades responsables, el comportamiento global del indicador se explica con la información que reporta cada una de ellas:     . La Dirección General de Educación Superior Universitaria, informó que la Meta se alcanzó al 100%, ya que se atendieron a los 8 Organismos Desregulados que están etiquetados en esta UR 511 por parte de la Secretaría de Hacienda y Crédito Público.     . La Subsecretaría de Educación Media Superior informa la atención de un organismo desregulado apoyado, con lo cual cumplió con la meta prevista para el año 2013.      Efecto: Los beneficios económicos y sociales alcanzados con los resultados de este indicador de propósito, contribuyeron a:     . Por parte de la Dirección General de Educación Superior Universitaria, comenta que los Organismos Desregulados fueron apoyados con recursos federales, lo que les permitió realizar sus funciones de manera adecuada.     . La Subsecretaría de Educación Media Superior reporta que para 2013, se continuó brindando el servicio educativo del nivel medio superior a través del CEDUT.      Otros Motivos:Para mayor información acerca de las causas de las variaciones entre la meta alcanzada y la meta original del indicador consultar el documento Análisis del Cumplimiento de los Indicadores para Resultados de la Secretaría de Educación Pública, correspondiente a la Cuenta de la Hacienda Pública Federal 2013. </t>
    </r>
  </si>
  <si>
    <r>
      <t xml:space="preserve">Porcentaje de la gestión de recursos financieros a organismos desregulados
</t>
    </r>
    <r>
      <rPr>
        <sz val="10"/>
        <rFont val="Soberana Sans"/>
        <family val="2"/>
      </rPr>
      <t xml:space="preserve"> Causa : Se cumplió al 100 por ciento la meta Efecto: se contó con los recursos suficientes para apoyar las actividades establecidas Otros Motivos:</t>
    </r>
  </si>
  <si>
    <r>
      <t xml:space="preserve">Porcentaje de cuentas por liquidar pagadas
</t>
    </r>
    <r>
      <rPr>
        <sz val="10"/>
        <rFont val="Soberana Sans"/>
        <family val="2"/>
      </rPr>
      <t xml:space="preserve"> Causa : La UR 511- Las Cuentas por Liquidar Certificadas que se proyectaron eran 88, pero a uno de los organismos por cuestiones operativas se le adelantaron recursos en dos ocasiones durante el año 2013 razón por lo cual sólo se elaboraron 86 Cuentas por Liquidar Certificadas.   La UR 600-Se cumplio la meta al 100%     Efecto: La UR 511- Los Organismos Desregulados recibieron en tiempo y forma sus recursos lo que les permitió su operación en el ejercicio 2013   La UR 600-Se continuo brindando oportunamente el servicio educativo para cursar estudios del nivel medio superior a través del CEDUT Otros Motivos:</t>
    </r>
  </si>
  <si>
    <t>U022</t>
  </si>
  <si>
    <t>Educación para personas con discapacidad</t>
  </si>
  <si>
    <t>Personas con Discapacidad</t>
  </si>
  <si>
    <t>Contribuir a aumentar la cobertura de la educación superior mediante la atención a personas con discapacidad auditiva, motriz ó visual</t>
  </si>
  <si>
    <r>
      <t>Cobertura de atención a personas con discapacidad auditiva, motriz o visual en educación superior.</t>
    </r>
    <r>
      <rPr>
        <i/>
        <sz val="10"/>
        <color indexed="30"/>
        <rFont val="Soberana Sans"/>
        <family val="3"/>
      </rPr>
      <t xml:space="preserve">
Indicador Seleccionado</t>
    </r>
  </si>
  <si>
    <t>( Matrícula en instituciones de educación superior públicas de personas con discapacidad en el año t / Matrícula en instituciones de educación superior públicas en el año t) x 100</t>
  </si>
  <si>
    <t>Los aspirantes y alumnos de educación media y superior con discapacidad auditiva, motriz ó visual se benefician de los proyectos de infraestructura que realizan las Instituciones de Educación Superior Públicas para proporcionar atención a personas con discapacidad, así como de apoyos educativos.</t>
  </si>
  <si>
    <r>
      <t>Total de Instituciones de Educación Superior Públicas beneficiadas con infraestructura.</t>
    </r>
    <r>
      <rPr>
        <i/>
        <sz val="10"/>
        <color indexed="30"/>
        <rFont val="Soberana Sans"/>
        <family val="3"/>
      </rPr>
      <t xml:space="preserve">
</t>
    </r>
  </si>
  <si>
    <t xml:space="preserve">Sumatoria del número de Instituciones de Educación Superior Públicas que cumplieron con los requisitos establecidos en los lineamientos de infraestructura para personas con discapacidad visual, motiriz o auditiva en el año t </t>
  </si>
  <si>
    <t>Institución Apoyada</t>
  </si>
  <si>
    <r>
      <t>Porcentaje de alumnos de educación media superior con discapacidad beneficiados con una beca, respecto del total de alumnos con discapacidad inscritos en el Bachillerato no escolarizado en el año</t>
    </r>
    <r>
      <rPr>
        <i/>
        <sz val="10"/>
        <color indexed="30"/>
        <rFont val="Soberana Sans"/>
        <family val="3"/>
      </rPr>
      <t xml:space="preserve">
Indicador Seleccionado</t>
    </r>
  </si>
  <si>
    <t>( Alumnos del nivel medio superior con discapacidad beneficiados con una beca en el año t / Total de alumnos con discapacidad inscritos en el Bachillerato no escolarizado en el año t ) x 100</t>
  </si>
  <si>
    <t>A Becas entregadas a alumnos de eduacación media superior con discapacidad auditiva, motriz o visual</t>
  </si>
  <si>
    <r>
      <t xml:space="preserve">Beca del nivel medio superior para estudiantes  </t>
    </r>
    <r>
      <rPr>
        <i/>
        <sz val="10"/>
        <color indexed="30"/>
        <rFont val="Soberana Sans"/>
        <family val="3"/>
      </rPr>
      <t xml:space="preserve">
</t>
    </r>
  </si>
  <si>
    <t>Número de Becas entregadas en el año t</t>
  </si>
  <si>
    <t>Beca</t>
  </si>
  <si>
    <t>B Proyectos de infraestructura para Instituciones de Educación Superior Públicas autorizados.</t>
  </si>
  <si>
    <r>
      <t>Porcentaje de Instituciones de Educación Superior Públicas que presentan proyectos de infraestructura para personas con discapacidad motriz, visual o auditiva y que cumplen con los requisitos establecidos en los lineamientos.</t>
    </r>
    <r>
      <rPr>
        <i/>
        <sz val="10"/>
        <color indexed="30"/>
        <rFont val="Soberana Sans"/>
        <family val="3"/>
      </rPr>
      <t xml:space="preserve">
</t>
    </r>
  </si>
  <si>
    <t>(Proyectos para infraestructura para personas con discapacidad autorizados en el año t / Proyectos para infraestructura para personas con discapacidad presentados en el año t) x 100</t>
  </si>
  <si>
    <t>A 1 Radicación del presupuesto asignado por parte de la Subsecretaría de Educación media superio.</t>
  </si>
  <si>
    <r>
      <t>Porcentaje de presupuesto ejercido por parte de la Subsecretaría de Educación Media Superior</t>
    </r>
    <r>
      <rPr>
        <i/>
        <sz val="10"/>
        <color indexed="30"/>
        <rFont val="Soberana Sans"/>
        <family val="3"/>
      </rPr>
      <t xml:space="preserve">
</t>
    </r>
  </si>
  <si>
    <t>(Monto de presupuesto ejercido en el año t / Monto de presupuesto autorizado en el año t) X 100</t>
  </si>
  <si>
    <t>A 2 Públicación de Lineamientos para presentar proyectos de infraestructura para personas con discapacidad motriz, visual o auditiva por parte de las Instituciones de Educación Superior</t>
  </si>
  <si>
    <r>
      <t>Lineamientos publicados para presentar proyectos de infraestructura para personas con discapacidad motriz, visual o auditiva por parte de las Instituciones de Educación Superior.</t>
    </r>
    <r>
      <rPr>
        <i/>
        <sz val="10"/>
        <color indexed="30"/>
        <rFont val="Soberana Sans"/>
        <family val="3"/>
      </rPr>
      <t xml:space="preserve">
</t>
    </r>
  </si>
  <si>
    <t>Número de lineamientos publicados en el año t.</t>
  </si>
  <si>
    <t>Lineamiento emitido</t>
  </si>
  <si>
    <t>A 3 Aprobación de solicitudes de becas para alumnos de educación media superior con discapacidad auditiva, motriz o visual.</t>
  </si>
  <si>
    <r>
      <t>Porcentaje de solicitudes de beca de esducación media superior para alumnos con discapacidad aprobadas</t>
    </r>
    <r>
      <rPr>
        <i/>
        <sz val="10"/>
        <color indexed="30"/>
        <rFont val="Soberana Sans"/>
        <family val="3"/>
      </rPr>
      <t xml:space="preserve">
</t>
    </r>
  </si>
  <si>
    <t>( Total de solicitudes de becas aprobadas en el año t / Total de solicitudes de becas recibidas en el año t ) x 100</t>
  </si>
  <si>
    <t>A 4 Publicación de la convocatoria para otorgamiento de becas para alumnos de educación media superior con discapacidad auditiva, motriz o visual.</t>
  </si>
  <si>
    <r>
      <t xml:space="preserve">Conocatoria publicada   </t>
    </r>
    <r>
      <rPr>
        <i/>
        <sz val="10"/>
        <color indexed="30"/>
        <rFont val="Soberana Sans"/>
        <family val="3"/>
      </rPr>
      <t xml:space="preserve">
</t>
    </r>
  </si>
  <si>
    <t xml:space="preserve">Número de convocatorias publicadas en el año t  </t>
  </si>
  <si>
    <t>Convocatoria</t>
  </si>
  <si>
    <r>
      <t xml:space="preserve">Cobertura de atención a personas con discapacidad auditiva, motriz o visual en educación superior.
</t>
    </r>
    <r>
      <rPr>
        <sz val="10"/>
        <rFont val="Soberana Sans"/>
        <family val="2"/>
      </rPr>
      <t xml:space="preserve"> Causa : La Secretaría de Educación Pública estableció en el programa presupuestario U022 para el ejercicio 2013, el indicador estratégico ¿Cobertura de atención a personas con discapacidad auditiva, motriz o visual en educación superior¿, como un indicador de eficacia. Al cierre del año la Subsecretaría de Educación Superior informa que se construyó el Campus Jalpa de la Universidad de Juárez Autónoma de Tabasco, de lo cual esta unidad responsable estará en posibilidades de reportar la Matrícula de personas con discapacidad en el momento que este campus entre en operaciones. Efecto: No se logró el impacto esperado en la población objetivo, mediante los resultados de este indicador de fin. Otros Motivos:</t>
    </r>
  </si>
  <si>
    <r>
      <t xml:space="preserve">Total de Instituciones de Educación Superior Públicas beneficiadas con infraestructura.
</t>
    </r>
    <r>
      <rPr>
        <sz val="10"/>
        <rFont val="Soberana Sans"/>
        <family val="2"/>
      </rPr>
      <t xml:space="preserve"> Causa : La Subsecretaría de Educación Superior informa que de los recursos aprobados en el PEF 2013 para el programa U022, se utilizaron 35.0 millones de pesos para apoyar la construcción del Campus Jalpa de la Universidad de Juárez Autónoma de Tabasco. Efecto: Se logró apoyar a una Institución de Educación Superior Pública. Otros Motivos:</t>
    </r>
  </si>
  <si>
    <r>
      <t xml:space="preserve">Porcentaje de alumnos de educación media superior con discapacidad beneficiados con una beca, respecto del total de alumnos con discapacidad inscritos en el Bachillerato no escolarizado en el año
</t>
    </r>
    <r>
      <rPr>
        <sz val="10"/>
        <rFont val="Soberana Sans"/>
        <family val="2"/>
      </rPr>
      <t xml:space="preserve"> Causa : La Secretaría de Educación Pública estableció en el programa presupuestario U022 para el ejercicio 2013, el indicador estratégico Porcentaje de alumnos de educación media superior con discapacidad beneficiados con una beca, respecto del total de alumnos con discapacidad inscritos en el Bachillerato no escolarizado en el año, como un indicador de eficacia. Al cierre del año, se logró apoyar a 3,892 alumnos del nivel medio superior con discapacidad, con lo que la meta de este indicador se ubicó 38.92%, y alcanzó un porcentaje de cumplimiento de 107.25% respecto de la meta programada; este comportamiento se explica principalmente por lo siguiente: la Subsecretaría de Educación Media Superior informa que la diferencia entre la meta programada y la alcanzada se debe a que el total de alumnos con discapacidad inscritos en el Bachillerato no escolarizado se incrementó de 3,522 programados a 10,000 ya que se incluyeron a estudiantes inscritos en cursos de capacitación parar el trabajo, por lo que aun cuando se logró beneficiar con una beca a un mayor número de alumnos del nivel medio superior con discapacidad, esto no se ve reflejado en el resultado alcanzado. No obstante, la meta se cumple conforme a lo previsto. Efecto: Los beneficios económicos y sociales alcanzados con este indicador de propósito, contribuyeron a una mayor inclusión de estudiantes inscritos en cursos de capacitación parar el trabajo, con lo que se logró beneficiar a 3,892 alumnos, lo que significa 2,614 más de lo que se tenía previsto. Otros Motivos:</t>
    </r>
  </si>
  <si>
    <r>
      <t xml:space="preserve">Beca del nivel medio superior para estudiantes  
</t>
    </r>
    <r>
      <rPr>
        <sz val="10"/>
        <rFont val="Soberana Sans"/>
        <family val="2"/>
      </rPr>
      <t xml:space="preserve"> Causa : La Subsecretaría de Educación Media Superior informa que lLa diferencia entre la meta programada y la alcanzada se debe a que el universo de cobertura se amplió de 3,522 a 10,000, ya que se incluyeron a estudiantes inscritos en cursos de capacitación parar el trabajo. Efecto: Con la inclusión de estudiantes inscritos en cursos de capacitación parar el trabajo, se logro beneficiar a 3,892 alumnos, lo que significa 2,614 más de lo que se tenía previsto. Otros Motivos:</t>
    </r>
  </si>
  <si>
    <r>
      <t xml:space="preserve">Porcentaje de Instituciones de Educación Superior Públicas que presentan proyectos de infraestructura para personas con discapacidad motriz, visual o auditiva y que cumplen con los requisitos establecidos en los lineamientos.
</t>
    </r>
    <r>
      <rPr>
        <sz val="10"/>
        <rFont val="Soberana Sans"/>
        <family val="2"/>
      </rPr>
      <t xml:space="preserve"> Causa : No se publicaron lineamientos para la presentación de proyectos de infraestructura para personas con discapacidad motriz, visual o auditiva. Efecto: No fue posible realizar el número de proyectos previstos en favor de las personas con discapacidad. Otros Motivos:</t>
    </r>
  </si>
  <si>
    <r>
      <t xml:space="preserve">Porcentaje de presupuesto ejercido por parte de la Subsecretaría de Educación Media Superior
</t>
    </r>
    <r>
      <rPr>
        <sz val="10"/>
        <rFont val="Soberana Sans"/>
        <family val="2"/>
      </rPr>
      <t xml:space="preserve"> Causa : La Subsecretaría de Educación Media Superior informa que en 2013 se contó con un presupuesto original de 150,000,000; el cual se modificó a 52,041,903.11, mismo que se ejerció al 100%. Efecto: Se cumplió la meta al 100% Otros Motivos:</t>
    </r>
  </si>
  <si>
    <r>
      <t xml:space="preserve">Lineamientos publicados para presentar proyectos de infraestructura para personas con discapacidad motriz, visual o auditiva por parte de las Instituciones de Educación Superior.
</t>
    </r>
    <r>
      <rPr>
        <sz val="10"/>
        <rFont val="Soberana Sans"/>
        <family val="2"/>
      </rPr>
      <t xml:space="preserve"> Causa : No se publicaron lineamientos para la presentación de proyectos de infraestructura para personas con discapacidad motriz, visual o auditiva. Efecto: No se realizaron los proyectos previstos en beneficio de la población con discapacidad motriz, visual o auditiva. Otros Motivos:</t>
    </r>
  </si>
  <si>
    <r>
      <t xml:space="preserve">Porcentaje de solicitudes de beca de esducación media superior para alumnos con discapacidad aprobadas
</t>
    </r>
    <r>
      <rPr>
        <sz val="10"/>
        <rFont val="Soberana Sans"/>
        <family val="2"/>
      </rPr>
      <t xml:space="preserve"> Causa : La Subsecretaría de Educación Media Superior informa que la diferencia entre la meta programada y la alcanzada se debe a que el universo de cobertura se amplio de 3,522 a 10,000, ya que se incluyeron a estudiantes inscritos en cursos de capacitación parar el trabajo, por lo que se recibieron mas solicitudes de apoyo que las que se tenía programadas. Efecto: Con la inclusión de estudiantes inscritos en cursos de capacitación parar el trabajo, se logró beneficiar a 3,892 alumnos, lo que significa 2,614 mas de lo que se tenia previsto. Otros Motivos:</t>
    </r>
  </si>
  <si>
    <r>
      <t xml:space="preserve">Conocatoria publicada   
</t>
    </r>
    <r>
      <rPr>
        <sz val="10"/>
        <rFont val="Soberana Sans"/>
        <family val="2"/>
      </rPr>
      <t xml:space="preserve"> Causa : La diferencia entre la meta programada y la alcanzada se debe a que se incluyeron a estudiantes inscritos en cursos de capacitación parar el trabajo.     Efecto: Se logro beneficiar a 3,892 alumnos, lo que significa 2,614 más de lo que se tenía previsto. Otros Motivos:</t>
    </r>
  </si>
  <si>
    <t>U023</t>
  </si>
  <si>
    <t>Subsidios para centros de educación</t>
  </si>
  <si>
    <t>Contribuir a impulsar estrategias educativas mediante el apoyo financiero a las entidades federativas.</t>
  </si>
  <si>
    <r>
      <t>Porcentaje de recursos transferidos para impulsar estrategias educativas.</t>
    </r>
    <r>
      <rPr>
        <i/>
        <sz val="10"/>
        <color indexed="30"/>
        <rFont val="Soberana Sans"/>
        <family val="3"/>
      </rPr>
      <t xml:space="preserve">
</t>
    </r>
  </si>
  <si>
    <t>(Recursos transferidos a las entidades federativas en el año N/Total de recursos aprobados al programa en el año N) x 100</t>
  </si>
  <si>
    <t>Las entidades federativas reciben los subsidios para impulsar las estrategias educativas en su Estado.</t>
  </si>
  <si>
    <r>
      <t>Porcentaje de entidades federativas apoyadas.</t>
    </r>
    <r>
      <rPr>
        <i/>
        <sz val="10"/>
        <color indexed="30"/>
        <rFont val="Soberana Sans"/>
        <family val="3"/>
      </rPr>
      <t xml:space="preserve">
Indicador Seleccionado</t>
    </r>
  </si>
  <si>
    <t>(Entidades federativas apoyadas en el año N / Entidades federativas programadas en el año N) x 100</t>
  </si>
  <si>
    <t>A Convenios con entidades federativas firmados para la transferencia de recursos.</t>
  </si>
  <si>
    <r>
      <t>Porcentaje de Convenios firmados con las entidades federativas.</t>
    </r>
    <r>
      <rPr>
        <i/>
        <sz val="10"/>
        <color indexed="30"/>
        <rFont val="Soberana Sans"/>
        <family val="3"/>
      </rPr>
      <t xml:space="preserve">
</t>
    </r>
  </si>
  <si>
    <t>(Convenios firmados en el año N / Convenios elaborados y revisados para ser firmados en el año N) x 100</t>
  </si>
  <si>
    <t>A 1 Elaboración de convenios y revisión de la documentación justificativa para la firma de convenios.</t>
  </si>
  <si>
    <r>
      <t>Porcentaje de convenios elaborados.</t>
    </r>
    <r>
      <rPr>
        <i/>
        <sz val="10"/>
        <color indexed="30"/>
        <rFont val="Soberana Sans"/>
        <family val="3"/>
      </rPr>
      <t xml:space="preserve">
</t>
    </r>
  </si>
  <si>
    <t>(Convenios elaborados y revisados en el año N / Convenios programados para su elaboración en el año N) x 100</t>
  </si>
  <si>
    <r>
      <t xml:space="preserve">Porcentaje de recursos transferidos para impulsar estrategias educativas.
</t>
    </r>
    <r>
      <rPr>
        <sz val="10"/>
        <rFont val="Soberana Sans"/>
        <family val="2"/>
      </rPr>
      <t xml:space="preserve"> Causa : Se superó la meta programada, derivado de que se otorgaron apoyos financieros extraordinarios no regularizables autorizados mediante ampliaciones líquidas por la Secretaría de Hacienda y Crédito Público, por un monto total de $30,209,773,401.54 millones de pesos, a favor de las Entidades Federativas que se indican a continuación: Aguascalientes, Baja California, Baja California Sur, Campeche, Coahuila, Colima, Chiapas, Chihuahua, Durango, Guanajuato, Guerrero, Hidalgo, Jalisco, México, Michoacán, Morelos, Nayarit, Nuevo León, Oaxaca, Puebla, Querétaro, Quintana Roo, San Luis Potosí, Sinaloa, Sonora, Tabasco, Tamaulipas, Tlaxcala, Veracruz, Yucatán y Zacatecas. Con la finalidad de solventar gastos inherentes a la operación y prestación de servicios de educación en los estados; como resultado de sus presiones de cierre presupuestario. Efecto: Se transfirieron recursos a 31 Entidades Federativas, con la finalidad de solventar gastos inherentes a la operación y prestación de servicios de educación en los estados; como resultado de sus presiones de cierre presupuestario. Otros Motivos:</t>
    </r>
  </si>
  <si>
    <r>
      <t xml:space="preserve">Porcentaje de entidades federativas apoyadas.
</t>
    </r>
    <r>
      <rPr>
        <sz val="10"/>
        <rFont val="Soberana Sans"/>
        <family val="2"/>
      </rPr>
      <t xml:space="preserve"> Causa : Causas de las variaciones entre la meta alcanzada y la meta aprobada del indicador.       La Secretaría de Educación Pública estableció en el programa presupuestario U023 para el ejercicio 2013, el indicador estratégico Porcentaje de entidades federativas apoyadas, como un indicador de eficiencia. Al cierre del año, se logró apoyar a 31 entidades federativas, con lo que la meta de este indicador alcanzó un porcentaje de cumplimiento de 96.88%. Este comportamiento se explica principalmente por lo siguiente:      . En el ejercicio fiscal 2013 el Distrito Federal no solicitó recursos, por lo que no se procedió a formalizar ningún convenio para este programa presupuestario con esta entidad federativa.      . Sin embargo, fue posible apoyar a 31 Entidades Federativas, mediante la formalización de convenios de apoyos financieros extraordinarios no regularizables, los cuales tienen como objeto apoyar a las Entidades para que solventen gastos inherentes a la operación y prestación de servicios de educación en el Estado, con base en la disponibilidad presupuestaria del Ejercicio Fiscal en curso.         Efecto: Efectos socioeconómicos del alcance de metas del indicador       Los beneficios económicos y sociales alcanzados con este indicador de propósito, contribuyeron a:       . Se apoyaron a 31 Entidades Federativas.        . Las Entidades Federativas apoyadas fueron: Aguascalientes, Baja California, Baja California Sur, Campeche, Coahuila, Colima, Chiapas, Chihuahua, Durango, Guanajuato, Guerrero, Hidalgo, Jalisco, México, Michoacán, Morelos, Nayarit, Nuevo León, Oaxaca, Puebla, Querétaro, Quintana Roo, San Luis Potosí, Sinaloa, Sonora, Tabasco, Tamaulipas, Tlaxcala, Veracruz, Yucatán y Zacatecas. Con la finalidad de solventar gastos inherentes a la operación y prestación de servicios de educación en los estados; como resultado de sus presiones de cierre presupuestario.        Otros Motivos:</t>
    </r>
  </si>
  <si>
    <r>
      <t xml:space="preserve">Porcentaje de Convenios firmados con las entidades federativas.
</t>
    </r>
    <r>
      <rPr>
        <sz val="10"/>
        <rFont val="Soberana Sans"/>
        <family val="2"/>
      </rPr>
      <t xml:space="preserve"> Causa : No obstante la meta del indicador se cumplió conforme a lo programado, en términos absolutos cabe mencionar que se superó la meta programada de Convenios firmados, debido a que se firmaron 85 convenios con las Entidades Federativas, de los 32 originalmente previstos.  Lo anterior, con la finalidad de solventar gastos inherentes a la operación y prestación de servicios de educación en los estados; como resultado de sus presiones de cierre presupuestario. Efecto: Se firmaron 85 convenios con las siguientes 31 Entidades Federativas: Aguascalientes, Baja California, Baja California Sur, Campeche, Coahuila, Colima, Chiapas, Chihuahua, Durango, Guanajuato, Guerrero, Hidalgo, Jalisco, México, Michoacán, Morelos, Nayarit, Nuevo León, Oaxaca, Puebla, Querétaro, Quintana Roo, San Luis Potosí, Sinaloa, Sonora, Tabasco, Tamaulipas, Tlaxcala, Veracruz, Yucatán y Zacatecas. Con la finalidad de solventar gastos inherentes a la operación y prestación de servicios de educación en los estados; como resultado de sus presiones de cierre presupuestario. Otros Motivos:</t>
    </r>
  </si>
  <si>
    <r>
      <t xml:space="preserve">Porcentaje de convenios elaborados.
</t>
    </r>
    <r>
      <rPr>
        <sz val="10"/>
        <rFont val="Soberana Sans"/>
        <family val="2"/>
      </rPr>
      <t xml:space="preserve"> Causa : Se superó la meta programada en un 268.75%, debido a que se elaboraron 86 convenios con 31 Entidades Federativas, con la finalidad de solventar gastos inherentes a la operación y prestación de servicios de educación en los estados; como resultado de sus presiones de cierre presupuestario. Efecto: Se elaboraron 86 convenios con las siguientes 31 Entidades Federativas: Aguascalientes, Baja California, Baja California Sur, Campeche, Coahuila, Colima, Chiapas, Chihuahua, Durango, Guanajuato, Guerrero, Hidalgo, Jalisco, México, Michoacán, Morelos, Nayarit, Nuevo León, Oaxaca, Puebla, Querétaro, Quintana Roo, San Luis Potosí, Sinaloa, Sonora, Tabasco, Tamaulipas, Tlaxcala, Veracruz, Yucatán y Zacatecas. Con la finalidad de solventar gastos inherentes a la operación y prestación de servicios de educación en los estados; como resultado de sus presiones de cierre presupuestario. Otros Motivos:</t>
    </r>
  </si>
  <si>
    <t>U024</t>
  </si>
  <si>
    <t>Expansión de la oferta educativa en Educación Media Superior</t>
  </si>
  <si>
    <t>600-Subsecretaría de Educación Media Superior</t>
  </si>
  <si>
    <t>Contribuir a ampliar las oportunidades educativas en el nivel Medio Superior y Capacitación para el Trabajo, mediante el fortalecimiento al desarrollo de la infraestructura educativa.</t>
  </si>
  <si>
    <r>
      <t>Cobertura Educativa</t>
    </r>
    <r>
      <rPr>
        <i/>
        <sz val="10"/>
        <color indexed="30"/>
        <rFont val="Soberana Sans"/>
        <family val="3"/>
      </rPr>
      <t xml:space="preserve">
</t>
    </r>
  </si>
  <si>
    <t>(Número de alumnos inscritos en educación media superior en el año N / Total de población de entre 16 y 18 años en el año N) X 100</t>
  </si>
  <si>
    <t>Unidades Educativas Públicas reciben apoyos para sufragar los gastos de operación inicial de los nuevos servicios educativos que brindan a la comunidad.</t>
  </si>
  <si>
    <r>
      <t>Tasa de incremento de la matrícula del nivel medio superior</t>
    </r>
    <r>
      <rPr>
        <i/>
        <sz val="10"/>
        <color indexed="30"/>
        <rFont val="Soberana Sans"/>
        <family val="3"/>
      </rPr>
      <t xml:space="preserve">
Indicador Seleccionado</t>
    </r>
  </si>
  <si>
    <t>((Número de estudiantes inscritos en año en curso / Número de estudiantes inscritos en el año anterior) - 1) X 100</t>
  </si>
  <si>
    <t xml:space="preserve">A Los nuevos grupos autorizados por nuevos planteles, crecimiento natural y por expansión de los planteles son creados.  </t>
  </si>
  <si>
    <r>
      <t>Porcentaje de grupos creados en planteles de Educación Media Superior.</t>
    </r>
    <r>
      <rPr>
        <i/>
        <sz val="10"/>
        <color indexed="30"/>
        <rFont val="Soberana Sans"/>
        <family val="3"/>
      </rPr>
      <t xml:space="preserve">
</t>
    </r>
  </si>
  <si>
    <t>(Número de grupos creados en el año N/ Número de grupos programados a crear en el año N) X 100</t>
  </si>
  <si>
    <t>Grupo creado</t>
  </si>
  <si>
    <t>A 1 Difusión y Promoción del Programa</t>
  </si>
  <si>
    <r>
      <t>Porcentaje de apoyos autorizados en relación a los propuestos</t>
    </r>
    <r>
      <rPr>
        <i/>
        <sz val="10"/>
        <color indexed="30"/>
        <rFont val="Soberana Sans"/>
        <family val="3"/>
      </rPr>
      <t xml:space="preserve">
</t>
    </r>
  </si>
  <si>
    <t>(Número de apoyos autorizados en el año N/ Número de apoyos solicitados en el año N) X 100</t>
  </si>
  <si>
    <t>Apoyo otorgado</t>
  </si>
  <si>
    <t>A 2 Radicación de recursos para la atención de nuevos grupos</t>
  </si>
  <si>
    <r>
      <t>Porcentaje de presupuesto ejercido</t>
    </r>
    <r>
      <rPr>
        <i/>
        <sz val="10"/>
        <color indexed="30"/>
        <rFont val="Soberana Sans"/>
        <family val="3"/>
      </rPr>
      <t xml:space="preserve">
</t>
    </r>
  </si>
  <si>
    <t>(Monto de presupuesto ejercido en el año N /Monto de presupuesto autorizado en el año N)X100</t>
  </si>
  <si>
    <t>Presupuesto ejercido</t>
  </si>
  <si>
    <r>
      <t xml:space="preserve">Cobertura Educativa
</t>
    </r>
    <r>
      <rPr>
        <sz val="10"/>
        <rFont val="Soberana Sans"/>
        <family val="2"/>
      </rPr>
      <t xml:space="preserve"> Causa : La diferencia entre la meta alcanzada y la programada, se debe a que el cálculo de esta última se realizó con cifras estimadas.      Efecto: Se contribuye a ampliar la cobertura de la educación media superior de jóvenes de entre 15 y 17 años.   De acuerdo a lo establecido en el PROSEDU a partir del 2014 se toma como referente a los jóvenes de entre 15 y 17 años como población potencial para este indicador.           Otros Motivos:</t>
    </r>
  </si>
  <si>
    <r>
      <t xml:space="preserve">Tasa de incremento de la matrícula del nivel medio superior
</t>
    </r>
    <r>
      <rPr>
        <sz val="10"/>
        <rFont val="Soberana Sans"/>
        <family val="2"/>
      </rPr>
      <t xml:space="preserve"> Causa : La Secretaría de Educación Pública estableció en el programa presupuestario U024 para el ejercicio 2013, el indicador estratégico Tasa de incremento de la matrícula del nivel medio superior, como un indicador de eficacia. Al cierre del año, se logró apoyar a 4,443,792 estudiantes inscritos en año en curso, con lo que la meta de este indicador alcanzó un porcentaje de cumplimiento de 191.14%. Este comportamiento se explica principalmente por lo siguiente:   . La Subsecretaría de Educación Media Superior menciona que la diferencia entre la meta alcanzada y la programada, se debe a que el cálculo de esta última se realizó con cifras estimadas.    Efecto: Los beneficios económicos y sociales alcanzados con los resultados de este indicador de propósito, contribuyeron a que la matrícula de educación media superior siguiera en aumento. Otros Motivos:</t>
    </r>
  </si>
  <si>
    <r>
      <t xml:space="preserve">Porcentaje de grupos creados en planteles de Educación Media Superior.
</t>
    </r>
    <r>
      <rPr>
        <sz val="10"/>
        <rFont val="Soberana Sans"/>
        <family val="2"/>
      </rPr>
      <t xml:space="preserve"> Causa : La diferencia entre la meta programada y la alcanzada se debe a que se incrementó el presupuesto en un 23.9% con relación al 2012, al pasar de 298.5 a 369.9 millones de pesos, lo que insidió en un mayor número de grupos creados      Efecto: Se lograron crear 4,591 grupos lo que significa 1,391 más de lo programado.      Otros Motivos:</t>
    </r>
  </si>
  <si>
    <r>
      <t xml:space="preserve">Porcentaje de apoyos autorizados en relación a los propuestos
</t>
    </r>
    <r>
      <rPr>
        <sz val="10"/>
        <rFont val="Soberana Sans"/>
        <family val="2"/>
      </rPr>
      <t xml:space="preserve"> Causa : La diferencia entre la meta alcanzada y la programada se debe al número de apoyos solicitados y requeridos por las entidades federativas.    Efecto: Se dio atención a las solicitudes de las entidades federativas      Otros Motivos:</t>
    </r>
  </si>
  <si>
    <r>
      <t xml:space="preserve">Porcentaje de presupuesto ejercido
</t>
    </r>
    <r>
      <rPr>
        <sz val="10"/>
        <rFont val="Soberana Sans"/>
        <family val="2"/>
      </rPr>
      <t xml:space="preserve"> Causa : En 2013 se contó con un presupuesto original de 1,800,000,000; el cual se modificó a 1,166,347,335.82 que se ejerció al 100%. Efecto: Se crearon nuevos grupos para la atención de la demanda de educación media superior    Otros Motivos:</t>
    </r>
  </si>
</sst>
</file>

<file path=xl/styles.xml><?xml version="1.0" encoding="utf-8"?>
<styleSheet xmlns="http://schemas.openxmlformats.org/spreadsheetml/2006/main" xmlns:mc="http://schemas.openxmlformats.org/markup-compatibility/2006" xmlns:x14ac="http://schemas.microsoft.com/office/spreadsheetml/2009/9/ac" mc:Ignorable="x14ac">
  <fonts count="33" x14ac:knownFonts="1">
    <font>
      <sz val="10"/>
      <name val="Soberana Sans"/>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Soberana Sans"/>
      <family val="2"/>
    </font>
    <font>
      <sz val="10"/>
      <name val="Soberana Sans"/>
      <family val="2"/>
    </font>
    <font>
      <b/>
      <sz val="12"/>
      <name val="Soberana Sans"/>
      <family val="2"/>
    </font>
    <font>
      <b/>
      <sz val="14"/>
      <color indexed="23"/>
      <name val="Soberana Sans"/>
      <family val="3"/>
    </font>
    <font>
      <b/>
      <sz val="10"/>
      <color indexed="8"/>
      <name val="Soberana Sans"/>
      <family val="2"/>
    </font>
    <font>
      <sz val="10"/>
      <color indexed="8"/>
      <name val="Soberana Sans"/>
      <family val="2"/>
    </font>
    <font>
      <b/>
      <sz val="11"/>
      <name val="Soberana Sans"/>
      <family val="2"/>
    </font>
    <font>
      <b/>
      <sz val="10"/>
      <color indexed="9"/>
      <name val="Soberana Sans"/>
      <family val="2"/>
    </font>
    <font>
      <sz val="10"/>
      <color indexed="9"/>
      <name val="Soberana Sans"/>
      <family val="2"/>
    </font>
    <font>
      <sz val="16"/>
      <color indexed="9"/>
      <name val="Soberana Sans"/>
      <family val="3"/>
    </font>
    <font>
      <b/>
      <sz val="11"/>
      <color indexed="8"/>
      <name val="Soberana Sans"/>
      <family val="2"/>
    </font>
    <font>
      <sz val="12"/>
      <name val="Soberana Sans"/>
      <family val="2"/>
    </font>
    <font>
      <b/>
      <sz val="28"/>
      <color indexed="8"/>
      <name val="Soberana Sans"/>
      <family val="3"/>
    </font>
    <font>
      <i/>
      <sz val="10"/>
      <color indexed="30"/>
      <name val="Soberana Sans"/>
      <family val="3"/>
    </font>
    <font>
      <sz val="10"/>
      <name val="Soberana Sans"/>
      <family val="3"/>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00B050"/>
        <bgColor indexed="64"/>
      </patternFill>
    </fill>
    <fill>
      <patternFill patternType="solid">
        <fgColor rgb="FFFFFFFF"/>
        <bgColor indexed="64"/>
      </patternFill>
    </fill>
    <fill>
      <patternFill patternType="solid">
        <fgColor rgb="FFBFBFBF"/>
        <bgColor indexed="64"/>
      </patternFill>
    </fill>
    <fill>
      <patternFill patternType="solid">
        <fgColor rgb="FFD8D8D8"/>
        <bgColor indexed="64"/>
      </patternFill>
    </fill>
  </fills>
  <borders count="6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ck">
        <color rgb="FF969696"/>
      </left>
      <right/>
      <top style="thick">
        <color rgb="FF969696"/>
      </top>
      <bottom style="thick">
        <color rgb="FF969696"/>
      </bottom>
      <diagonal/>
    </border>
    <border>
      <left/>
      <right/>
      <top style="thick">
        <color rgb="FF969696"/>
      </top>
      <bottom style="thick">
        <color rgb="FF969696"/>
      </bottom>
      <diagonal/>
    </border>
    <border>
      <left/>
      <right style="thick">
        <color rgb="FF969696"/>
      </right>
      <top style="thick">
        <color rgb="FF969696"/>
      </top>
      <bottom style="thick">
        <color rgb="FF969696"/>
      </bottom>
      <diagonal/>
    </border>
    <border>
      <left style="medium">
        <color rgb="FF000000"/>
      </left>
      <right/>
      <top/>
      <bottom/>
      <diagonal/>
    </border>
    <border>
      <left/>
      <right/>
      <top style="thick">
        <color rgb="FF969696"/>
      </top>
      <bottom/>
      <diagonal/>
    </border>
    <border>
      <left/>
      <right style="medium">
        <color rgb="FF000000"/>
      </right>
      <top/>
      <bottom/>
      <diagonal/>
    </border>
    <border>
      <left style="medium">
        <color rgb="FF000000"/>
      </left>
      <right/>
      <top/>
      <bottom style="thick">
        <color rgb="FF969696"/>
      </bottom>
      <diagonal/>
    </border>
    <border>
      <left/>
      <right/>
      <top/>
      <bottom style="thick">
        <color rgb="FF969696"/>
      </bottom>
      <diagonal/>
    </border>
    <border>
      <left/>
      <right style="medium">
        <color rgb="FF000000"/>
      </right>
      <top/>
      <bottom style="thick">
        <color rgb="FF969696"/>
      </bottom>
      <diagonal/>
    </border>
    <border>
      <left style="medium">
        <color rgb="FF000000"/>
      </left>
      <right style="thin">
        <color rgb="FF000000"/>
      </right>
      <top style="thin">
        <color rgb="FF000000"/>
      </top>
      <bottom/>
      <diagonal/>
    </border>
    <border>
      <left style="medium">
        <color rgb="FF000000"/>
      </left>
      <right style="thin">
        <color rgb="FF000000"/>
      </right>
      <top/>
      <bottom style="thick">
        <color rgb="FF000000"/>
      </bottom>
      <diagonal/>
    </border>
    <border>
      <left style="medium">
        <color rgb="FF000000"/>
      </left>
      <right style="thin">
        <color rgb="FF000000"/>
      </right>
      <top/>
      <bottom/>
      <diagonal/>
    </border>
    <border>
      <left/>
      <right/>
      <top style="thin">
        <color rgb="FF000000"/>
      </top>
      <bottom/>
      <diagonal/>
    </border>
    <border>
      <left/>
      <right/>
      <top/>
      <bottom style="thick">
        <color rgb="FF000000"/>
      </bottom>
      <diagonal/>
    </border>
    <border>
      <left/>
      <right style="thin">
        <color rgb="FF000000"/>
      </right>
      <top/>
      <bottom style="thick">
        <color rgb="FF000000"/>
      </bottom>
      <diagonal/>
    </border>
    <border>
      <left/>
      <right style="thin">
        <color rgb="FF000000"/>
      </right>
      <top/>
      <bottom/>
      <diagonal/>
    </border>
    <border>
      <left style="thin">
        <color rgb="FF000000"/>
      </left>
      <right style="thin">
        <color rgb="FF000000"/>
      </right>
      <top style="thick">
        <color rgb="FF969696"/>
      </top>
      <bottom style="thin">
        <color rgb="FF000000"/>
      </bottom>
      <diagonal/>
    </border>
    <border>
      <left style="thin">
        <color rgb="FF000000"/>
      </left>
      <right/>
      <top style="thick">
        <color rgb="FF969696"/>
      </top>
      <bottom style="thin">
        <color rgb="FF000000"/>
      </bottom>
      <diagonal/>
    </border>
    <border>
      <left/>
      <right style="thin">
        <color rgb="FF000000"/>
      </right>
      <top style="thick">
        <color rgb="FF969696"/>
      </top>
      <bottom style="thin">
        <color rgb="FF000000"/>
      </bottom>
      <diagonal/>
    </border>
    <border>
      <left/>
      <right/>
      <top style="thick">
        <color rgb="FF969696"/>
      </top>
      <bottom style="thin">
        <color rgb="FF000000"/>
      </bottom>
      <diagonal/>
    </border>
    <border>
      <left/>
      <right style="medium">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style="thin">
        <color rgb="FF000000"/>
      </left>
      <right/>
      <top/>
      <bottom style="thick">
        <color rgb="FF333333"/>
      </bottom>
      <diagonal/>
    </border>
    <border>
      <left/>
      <right/>
      <top/>
      <bottom style="thick">
        <color rgb="FF333333"/>
      </bottom>
      <diagonal/>
    </border>
    <border>
      <left/>
      <right style="medium">
        <color rgb="FF000000"/>
      </right>
      <top style="thin">
        <color rgb="FF000000"/>
      </top>
      <bottom/>
      <diagonal/>
    </border>
    <border>
      <left/>
      <right style="medium">
        <color rgb="FF000000"/>
      </right>
      <top/>
      <bottom style="thick">
        <color rgb="FF333333"/>
      </bottom>
      <diagonal/>
    </border>
    <border>
      <left/>
      <right style="thin">
        <color rgb="FF000000"/>
      </right>
      <top/>
      <bottom style="thick">
        <color rgb="FF333333"/>
      </bottom>
      <diagonal/>
    </border>
    <border>
      <left style="medium">
        <color auto="1"/>
      </left>
      <right/>
      <top style="thick">
        <color rgb="FF969696"/>
      </top>
      <bottom style="thin">
        <color rgb="FFD8D8D8"/>
      </bottom>
      <diagonal/>
    </border>
    <border>
      <left/>
      <right/>
      <top style="thick">
        <color rgb="FF969696"/>
      </top>
      <bottom style="thin">
        <color rgb="FFD8D8D8"/>
      </bottom>
      <diagonal/>
    </border>
    <border>
      <left/>
      <right style="medium">
        <color auto="1"/>
      </right>
      <top style="thick">
        <color rgb="FF969696"/>
      </top>
      <bottom style="thin">
        <color rgb="FFD8D8D8"/>
      </bottom>
      <diagonal/>
    </border>
    <border>
      <left style="medium">
        <color auto="1"/>
      </left>
      <right/>
      <top style="thin">
        <color rgb="FFD8D8D8"/>
      </top>
      <bottom style="thin">
        <color rgb="FFD8D8D8"/>
      </bottom>
      <diagonal/>
    </border>
    <border>
      <left/>
      <right/>
      <top style="thin">
        <color rgb="FFD8D8D8"/>
      </top>
      <bottom style="thin">
        <color rgb="FFD8D8D8"/>
      </bottom>
      <diagonal/>
    </border>
    <border>
      <left/>
      <right style="medium">
        <color auto="1"/>
      </right>
      <top style="thin">
        <color rgb="FFD8D8D8"/>
      </top>
      <bottom style="thin">
        <color rgb="FFD8D8D8"/>
      </bottom>
      <diagonal/>
    </border>
    <border>
      <left style="medium">
        <color rgb="FF000000"/>
      </left>
      <right/>
      <top style="thick">
        <color rgb="FF969696"/>
      </top>
      <bottom/>
      <diagonal/>
    </border>
    <border>
      <left/>
      <right style="thin">
        <color rgb="FF000000"/>
      </right>
      <top style="thick">
        <color rgb="FF969696"/>
      </top>
      <bottom/>
      <diagonal/>
    </border>
    <border>
      <left style="medium">
        <color rgb="FF000000"/>
      </left>
      <right/>
      <top/>
      <bottom style="medium">
        <color rgb="FF000000"/>
      </bottom>
      <diagonal/>
    </border>
    <border>
      <left/>
      <right/>
      <top/>
      <bottom style="medium">
        <color rgb="FF000000"/>
      </bottom>
      <diagonal/>
    </border>
    <border>
      <left style="thin">
        <color rgb="FF000000"/>
      </left>
      <right style="thin">
        <color rgb="FF000000"/>
      </right>
      <top style="thin">
        <color rgb="FF000000"/>
      </top>
      <bottom style="medium">
        <color rgb="FF000000"/>
      </bottom>
      <diagonal/>
    </border>
    <border>
      <left/>
      <right style="thin">
        <color rgb="FF000000"/>
      </right>
      <top/>
      <bottom style="medium">
        <color rgb="FF000000"/>
      </bottom>
      <diagonal/>
    </border>
    <border>
      <left style="medium">
        <color rgb="FF000000"/>
      </left>
      <right/>
      <top/>
      <bottom style="medium">
        <color rgb="FFD8D8D8"/>
      </bottom>
      <diagonal/>
    </border>
    <border>
      <left/>
      <right/>
      <top/>
      <bottom style="medium">
        <color rgb="FFD8D8D8"/>
      </bottom>
      <diagonal/>
    </border>
    <border>
      <left/>
      <right style="medium">
        <color auto="1"/>
      </right>
      <top style="thin">
        <color rgb="FFD8D8D8"/>
      </top>
      <bottom style="medium">
        <color rgb="FFD8D8D8"/>
      </bottom>
      <diagonal/>
    </border>
    <border>
      <left style="medium">
        <color rgb="FF000000"/>
      </left>
      <right/>
      <top style="medium">
        <color rgb="FFD8D8D8"/>
      </top>
      <bottom style="thin">
        <color rgb="FF000000"/>
      </bottom>
      <diagonal/>
    </border>
    <border>
      <left/>
      <right/>
      <top style="medium">
        <color rgb="FFD8D8D8"/>
      </top>
      <bottom style="thin">
        <color rgb="FF000000"/>
      </bottom>
      <diagonal/>
    </border>
    <border>
      <left style="medium">
        <color rgb="FF000000"/>
      </left>
      <right/>
      <top style="thick">
        <color rgb="FF969696"/>
      </top>
      <bottom style="thin">
        <color rgb="FFD8D8D8"/>
      </bottom>
      <diagonal/>
    </border>
    <border>
      <left/>
      <right style="medium">
        <color rgb="FF000000"/>
      </right>
      <top style="thick">
        <color rgb="FF969696"/>
      </top>
      <bottom style="thin">
        <color rgb="FFD8D8D8"/>
      </bottom>
      <diagonal/>
    </border>
    <border>
      <left style="medium">
        <color auto="1"/>
      </left>
      <right/>
      <top style="thin">
        <color rgb="FFD8D8D8"/>
      </top>
      <bottom style="medium">
        <color auto="1"/>
      </bottom>
      <diagonal/>
    </border>
    <border>
      <left/>
      <right style="medium">
        <color auto="1"/>
      </right>
      <top style="thin">
        <color rgb="FFD8D8D8"/>
      </top>
      <bottom style="medium">
        <color auto="1"/>
      </bottom>
      <diagonal/>
    </border>
    <border>
      <left/>
      <right/>
      <top style="thin">
        <color rgb="FFD8D8D8"/>
      </top>
      <bottom style="medium">
        <color auto="1"/>
      </bottom>
      <diagonal/>
    </border>
    <border>
      <left style="thin">
        <color rgb="FF000000"/>
      </left>
      <right/>
      <top style="thick">
        <color rgb="FF969696"/>
      </top>
      <bottom/>
      <diagonal/>
    </border>
    <border>
      <left style="thin">
        <color rgb="FF000000"/>
      </left>
      <right/>
      <top/>
      <bottom/>
      <diagonal/>
    </border>
    <border>
      <left style="thin">
        <color rgb="FF000000"/>
      </left>
      <right/>
      <top/>
      <bottom style="thick">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9">
    <xf numFmtId="0" fontId="0" fillId="0" borderId="0" xfId="0"/>
    <xf numFmtId="0" fontId="0" fillId="0" borderId="0" xfId="0" applyAlignment="1">
      <alignment vertical="top" wrapText="1"/>
    </xf>
    <xf numFmtId="0" fontId="0" fillId="0" borderId="0" xfId="0" applyNumberFormat="1" applyFont="1" applyFill="1" applyBorder="1" applyAlignment="1" applyProtection="1"/>
    <xf numFmtId="0" fontId="21" fillId="0" borderId="0" xfId="0" applyFont="1" applyFill="1" applyAlignment="1">
      <alignment vertical="center"/>
    </xf>
    <xf numFmtId="0" fontId="22" fillId="35" borderId="10" xfId="0" applyFont="1" applyFill="1" applyBorder="1" applyAlignment="1">
      <alignment horizontal="centerContinuous" vertical="center"/>
    </xf>
    <xf numFmtId="0" fontId="23" fillId="35" borderId="11" xfId="0" applyFont="1" applyFill="1" applyBorder="1" applyAlignment="1">
      <alignment horizontal="centerContinuous" vertical="center"/>
    </xf>
    <xf numFmtId="0" fontId="23" fillId="35" borderId="11" xfId="0" applyFont="1" applyFill="1" applyBorder="1" applyAlignment="1">
      <alignment horizontal="centerContinuous" vertical="center" wrapText="1"/>
    </xf>
    <xf numFmtId="0" fontId="23" fillId="35" borderId="12" xfId="0" applyFont="1" applyFill="1" applyBorder="1" applyAlignment="1">
      <alignment horizontal="centerContinuous" vertical="center" wrapText="1"/>
    </xf>
    <xf numFmtId="0" fontId="18" fillId="0" borderId="13" xfId="0" applyFont="1" applyBorder="1" applyAlignment="1">
      <alignment vertical="top" wrapText="1"/>
    </xf>
    <xf numFmtId="0" fontId="24" fillId="0" borderId="0" xfId="0" applyFont="1" applyBorder="1" applyAlignment="1">
      <alignment horizontal="center" vertical="top" wrapText="1"/>
    </xf>
    <xf numFmtId="0" fontId="0" fillId="0" borderId="0" xfId="0" applyBorder="1" applyAlignment="1">
      <alignment horizontal="right" vertical="top" wrapText="1"/>
    </xf>
    <xf numFmtId="0" fontId="18" fillId="0" borderId="0" xfId="0" applyFont="1" applyBorder="1" applyAlignment="1">
      <alignment vertical="top" wrapText="1"/>
    </xf>
    <xf numFmtId="0" fontId="19" fillId="0" borderId="0" xfId="0" applyFont="1" applyBorder="1" applyAlignment="1">
      <alignment horizontal="center" vertical="top" wrapText="1"/>
    </xf>
    <xf numFmtId="0" fontId="18" fillId="0" borderId="16" xfId="0" applyFont="1" applyBorder="1" applyAlignment="1">
      <alignment horizontal="justify" vertical="top" wrapText="1"/>
    </xf>
    <xf numFmtId="0" fontId="18" fillId="0" borderId="17" xfId="0" applyFont="1" applyBorder="1" applyAlignment="1">
      <alignment horizontal="right" vertical="top" wrapText="1"/>
    </xf>
    <xf numFmtId="0" fontId="0" fillId="0" borderId="17" xfId="0" applyBorder="1" applyAlignment="1">
      <alignment vertical="top" wrapText="1"/>
    </xf>
    <xf numFmtId="0" fontId="18" fillId="0" borderId="17" xfId="0" applyFont="1" applyBorder="1" applyAlignment="1">
      <alignment vertical="top" wrapText="1"/>
    </xf>
    <xf numFmtId="0" fontId="19" fillId="0" borderId="17" xfId="0" applyFont="1" applyBorder="1" applyAlignment="1">
      <alignment vertical="top" wrapText="1"/>
    </xf>
    <xf numFmtId="0" fontId="18" fillId="36" borderId="26" xfId="0" applyFont="1" applyFill="1" applyBorder="1" applyAlignment="1">
      <alignment horizontal="center" vertical="center" wrapText="1"/>
    </xf>
    <xf numFmtId="0" fontId="18" fillId="36" borderId="34" xfId="0" applyFont="1" applyFill="1" applyBorder="1" applyAlignment="1">
      <alignment horizontal="center" vertical="center" wrapText="1"/>
    </xf>
    <xf numFmtId="0" fontId="18" fillId="36" borderId="37" xfId="0" applyFont="1" applyFill="1" applyBorder="1" applyAlignment="1">
      <alignment horizontal="center" vertical="center" wrapText="1"/>
    </xf>
    <xf numFmtId="0" fontId="19" fillId="0" borderId="0" xfId="0" applyFont="1" applyAlignment="1">
      <alignment vertical="top" wrapText="1"/>
    </xf>
    <xf numFmtId="0" fontId="18" fillId="0" borderId="38" xfId="0" applyFont="1" applyFill="1" applyBorder="1" applyAlignment="1">
      <alignment vertical="top" wrapText="1"/>
    </xf>
    <xf numFmtId="4" fontId="19" fillId="0" borderId="39" xfId="0" applyNumberFormat="1" applyFont="1" applyBorder="1" applyAlignment="1">
      <alignment horizontal="right" vertical="top" wrapText="1"/>
    </xf>
    <xf numFmtId="0" fontId="18" fillId="0" borderId="41" xfId="0" applyFont="1" applyFill="1" applyBorder="1" applyAlignment="1">
      <alignment vertical="top" wrapText="1"/>
    </xf>
    <xf numFmtId="4" fontId="19" fillId="0" borderId="42" xfId="0" applyNumberFormat="1" applyFont="1" applyBorder="1" applyAlignment="1">
      <alignment horizontal="right" vertical="top" wrapText="1"/>
    </xf>
    <xf numFmtId="3" fontId="0" fillId="0" borderId="0" xfId="0" applyNumberFormat="1" applyAlignment="1">
      <alignment vertical="top" wrapText="1"/>
    </xf>
    <xf numFmtId="0" fontId="25" fillId="36" borderId="44" xfId="0" applyFont="1" applyFill="1" applyBorder="1" applyAlignment="1">
      <alignment horizontal="centerContinuous" vertical="center"/>
    </xf>
    <xf numFmtId="0" fontId="26" fillId="36" borderId="14" xfId="0" applyFont="1" applyFill="1" applyBorder="1" applyAlignment="1">
      <alignment horizontal="centerContinuous" vertical="center"/>
    </xf>
    <xf numFmtId="0" fontId="26" fillId="36" borderId="14" xfId="0" applyFont="1" applyFill="1" applyBorder="1" applyAlignment="1">
      <alignment horizontal="centerContinuous" vertical="center" wrapText="1"/>
    </xf>
    <xf numFmtId="0" fontId="18" fillId="36" borderId="45" xfId="0" applyFont="1" applyFill="1" applyBorder="1" applyAlignment="1">
      <alignment vertical="center" wrapText="1"/>
    </xf>
    <xf numFmtId="0" fontId="18" fillId="36" borderId="27" xfId="0" applyFont="1" applyFill="1" applyBorder="1" applyAlignment="1">
      <alignment horizontal="center" vertical="center" wrapText="1"/>
    </xf>
    <xf numFmtId="0" fontId="25" fillId="36" borderId="46" xfId="0" applyFont="1" applyFill="1" applyBorder="1" applyAlignment="1">
      <alignment horizontal="centerContinuous" vertical="center"/>
    </xf>
    <xf numFmtId="0" fontId="26" fillId="36" borderId="47" xfId="0" applyFont="1" applyFill="1" applyBorder="1" applyAlignment="1">
      <alignment horizontal="centerContinuous" vertical="center"/>
    </xf>
    <xf numFmtId="0" fontId="26" fillId="36" borderId="47" xfId="0" applyFont="1" applyFill="1" applyBorder="1" applyAlignment="1">
      <alignment horizontal="centerContinuous" vertical="center" wrapText="1"/>
    </xf>
    <xf numFmtId="0" fontId="18" fillId="36" borderId="48" xfId="0" applyFont="1" applyFill="1" applyBorder="1" applyAlignment="1">
      <alignment horizontal="center" vertical="center" wrapText="1"/>
    </xf>
    <xf numFmtId="0" fontId="18" fillId="36" borderId="49" xfId="0" applyFont="1" applyFill="1" applyBorder="1" applyAlignment="1">
      <alignment horizontal="center" vertical="center" wrapText="1"/>
    </xf>
    <xf numFmtId="0" fontId="18" fillId="0" borderId="51" xfId="0" applyFont="1" applyBorder="1" applyAlignment="1">
      <alignment horizontal="justify" vertical="top" wrapText="1"/>
    </xf>
    <xf numFmtId="0" fontId="0" fillId="0" borderId="51" xfId="0" applyBorder="1" applyAlignment="1">
      <alignment vertical="top" wrapText="1"/>
    </xf>
    <xf numFmtId="4" fontId="0" fillId="0" borderId="51" xfId="0" applyNumberFormat="1" applyBorder="1" applyAlignment="1">
      <alignment vertical="top" wrapText="1"/>
    </xf>
    <xf numFmtId="0" fontId="18" fillId="0" borderId="54" xfId="0" applyFont="1" applyBorder="1" applyAlignment="1">
      <alignment horizontal="justify" vertical="top" wrapText="1"/>
    </xf>
    <xf numFmtId="0" fontId="0" fillId="0" borderId="54" xfId="0" applyBorder="1" applyAlignment="1">
      <alignment vertical="top" wrapText="1"/>
    </xf>
    <xf numFmtId="4" fontId="0" fillId="0" borderId="54" xfId="0" applyNumberFormat="1" applyBorder="1" applyAlignment="1">
      <alignment vertical="top" wrapText="1"/>
    </xf>
    <xf numFmtId="3" fontId="19" fillId="0" borderId="42" xfId="0" applyNumberFormat="1" applyFont="1" applyBorder="1" applyAlignment="1">
      <alignment horizontal="right" vertical="top" wrapText="1"/>
    </xf>
    <xf numFmtId="3" fontId="19" fillId="0" borderId="39" xfId="0" applyNumberFormat="1" applyFont="1" applyBorder="1" applyAlignment="1">
      <alignment horizontal="right" vertical="top" wrapText="1"/>
    </xf>
    <xf numFmtId="2" fontId="0" fillId="0" borderId="40" xfId="0" applyNumberFormat="1" applyBorder="1" applyAlignment="1">
      <alignment horizontal="right" vertical="top" wrapText="1"/>
    </xf>
    <xf numFmtId="2" fontId="0" fillId="0" borderId="43" xfId="0" applyNumberFormat="1" applyBorder="1" applyAlignment="1">
      <alignment horizontal="right" vertical="top" wrapText="1"/>
    </xf>
    <xf numFmtId="4" fontId="0" fillId="0" borderId="40" xfId="0" applyNumberFormat="1" applyBorder="1" applyAlignment="1">
      <alignment horizontal="right" vertical="top" wrapText="1"/>
    </xf>
    <xf numFmtId="4" fontId="0" fillId="0" borderId="51" xfId="0" applyNumberFormat="1" applyFill="1" applyBorder="1" applyAlignment="1">
      <alignment horizontal="right" vertical="top" wrapText="1"/>
    </xf>
    <xf numFmtId="4" fontId="19" fillId="0" borderId="52" xfId="0" applyNumberFormat="1" applyFont="1" applyFill="1" applyBorder="1" applyAlignment="1">
      <alignment horizontal="right" vertical="top" wrapText="1"/>
    </xf>
    <xf numFmtId="0" fontId="27" fillId="33" borderId="0" xfId="0" applyFont="1" applyFill="1" applyAlignment="1">
      <alignment horizontal="center" vertical="center" wrapText="1"/>
    </xf>
    <xf numFmtId="0" fontId="30" fillId="34" borderId="0" xfId="0" applyFont="1" applyFill="1" applyAlignment="1">
      <alignment horizontal="center" vertical="center" wrapText="1"/>
    </xf>
    <xf numFmtId="0" fontId="20" fillId="0" borderId="0" xfId="0" applyFont="1" applyAlignment="1">
      <alignment horizontal="center" vertical="center" wrapText="1"/>
    </xf>
    <xf numFmtId="0" fontId="29" fillId="0" borderId="0" xfId="0" applyFont="1" applyAlignment="1">
      <alignment horizontal="justify" vertical="top" wrapText="1"/>
    </xf>
    <xf numFmtId="0" fontId="20" fillId="0" borderId="13" xfId="0" applyFont="1" applyBorder="1" applyAlignment="1">
      <alignment horizontal="center" vertical="top" wrapText="1"/>
    </xf>
    <xf numFmtId="0" fontId="20" fillId="0" borderId="0" xfId="0" applyFont="1" applyBorder="1" applyAlignment="1">
      <alignment horizontal="center" vertical="top" wrapText="1"/>
    </xf>
    <xf numFmtId="0" fontId="20" fillId="0" borderId="15" xfId="0" applyFont="1" applyBorder="1" applyAlignment="1">
      <alignment horizontal="center" vertical="top" wrapText="1"/>
    </xf>
    <xf numFmtId="0" fontId="28" fillId="0" borderId="0" xfId="0" applyFont="1" applyBorder="1" applyAlignment="1">
      <alignment horizontal="justify" vertical="top" wrapText="1"/>
    </xf>
    <xf numFmtId="0" fontId="19" fillId="0" borderId="0" xfId="0" applyFont="1" applyBorder="1" applyAlignment="1">
      <alignment horizontal="justify" vertical="top" wrapText="1"/>
    </xf>
    <xf numFmtId="0" fontId="19" fillId="0" borderId="15" xfId="0" applyFont="1" applyBorder="1" applyAlignment="1">
      <alignment horizontal="justify" vertical="top" wrapText="1"/>
    </xf>
    <xf numFmtId="0" fontId="19" fillId="0" borderId="17" xfId="0" applyFont="1" applyBorder="1" applyAlignment="1">
      <alignment horizontal="justify" vertical="top" wrapText="1"/>
    </xf>
    <xf numFmtId="0" fontId="19" fillId="0" borderId="18" xfId="0" applyFont="1" applyBorder="1" applyAlignment="1">
      <alignment horizontal="justify" vertical="top" wrapText="1"/>
    </xf>
    <xf numFmtId="0" fontId="18" fillId="36" borderId="19" xfId="0" applyFont="1" applyFill="1" applyBorder="1" applyAlignment="1">
      <alignment horizontal="center" vertical="center" wrapText="1"/>
    </xf>
    <xf numFmtId="0" fontId="18" fillId="36" borderId="21" xfId="0" applyFont="1" applyFill="1" applyBorder="1" applyAlignment="1">
      <alignment horizontal="center" vertical="center" wrapText="1"/>
    </xf>
    <xf numFmtId="0" fontId="18" fillId="36" borderId="20" xfId="0" applyFont="1" applyFill="1" applyBorder="1" applyAlignment="1">
      <alignment horizontal="center" vertical="center" wrapText="1"/>
    </xf>
    <xf numFmtId="0" fontId="18" fillId="36" borderId="60" xfId="0" applyFont="1" applyFill="1" applyBorder="1" applyAlignment="1">
      <alignment horizontal="center" vertical="center" wrapText="1"/>
    </xf>
    <xf numFmtId="0" fontId="18" fillId="36" borderId="14" xfId="0" applyFont="1" applyFill="1" applyBorder="1" applyAlignment="1">
      <alignment horizontal="center" vertical="center" wrapText="1"/>
    </xf>
    <xf numFmtId="0" fontId="18" fillId="36" borderId="45" xfId="0" applyFont="1" applyFill="1" applyBorder="1" applyAlignment="1">
      <alignment horizontal="center" vertical="center" wrapText="1"/>
    </xf>
    <xf numFmtId="0" fontId="18" fillId="36" borderId="61" xfId="0" applyFont="1" applyFill="1" applyBorder="1" applyAlignment="1">
      <alignment horizontal="center" vertical="center" wrapText="1"/>
    </xf>
    <xf numFmtId="0" fontId="18" fillId="36" borderId="0" xfId="0" applyFont="1" applyFill="1" applyBorder="1" applyAlignment="1">
      <alignment horizontal="center" vertical="center" wrapText="1"/>
    </xf>
    <xf numFmtId="0" fontId="18" fillId="36" borderId="25" xfId="0" applyFont="1" applyFill="1" applyBorder="1" applyAlignment="1">
      <alignment horizontal="center" vertical="center" wrapText="1"/>
    </xf>
    <xf numFmtId="0" fontId="18" fillId="36" borderId="62" xfId="0" applyFont="1" applyFill="1" applyBorder="1" applyAlignment="1">
      <alignment horizontal="center" vertical="center" wrapText="1"/>
    </xf>
    <xf numFmtId="0" fontId="18" fillId="36" borderId="23" xfId="0" applyFont="1" applyFill="1" applyBorder="1" applyAlignment="1">
      <alignment horizontal="center" vertical="center" wrapText="1"/>
    </xf>
    <xf numFmtId="0" fontId="18" fillId="36" borderId="24" xfId="0" applyFont="1" applyFill="1" applyBorder="1" applyAlignment="1">
      <alignment horizontal="center" vertical="center" wrapText="1"/>
    </xf>
    <xf numFmtId="0" fontId="18" fillId="36" borderId="27" xfId="0" applyFont="1" applyFill="1" applyBorder="1" applyAlignment="1">
      <alignment horizontal="center" vertical="center" wrapText="1"/>
    </xf>
    <xf numFmtId="0" fontId="18" fillId="36" borderId="29" xfId="0" applyFont="1" applyFill="1" applyBorder="1" applyAlignment="1">
      <alignment horizontal="center" vertical="center" wrapText="1"/>
    </xf>
    <xf numFmtId="0" fontId="18" fillId="36" borderId="28" xfId="0" applyFont="1" applyFill="1" applyBorder="1" applyAlignment="1">
      <alignment horizontal="center" vertical="center" wrapText="1"/>
    </xf>
    <xf numFmtId="0" fontId="18" fillId="36" borderId="31" xfId="0" applyFont="1" applyFill="1" applyBorder="1" applyAlignment="1">
      <alignment horizontal="center" vertical="center" wrapText="1"/>
    </xf>
    <xf numFmtId="0" fontId="18" fillId="36" borderId="30" xfId="0" applyFont="1" applyFill="1" applyBorder="1" applyAlignment="1">
      <alignment horizontal="center" vertical="center" wrapText="1"/>
    </xf>
    <xf numFmtId="0" fontId="18" fillId="36" borderId="32" xfId="0" applyFont="1" applyFill="1" applyBorder="1" applyAlignment="1">
      <alignment horizontal="center" vertical="center" wrapText="1"/>
    </xf>
    <xf numFmtId="0" fontId="18" fillId="36" borderId="22" xfId="0" applyFont="1" applyFill="1" applyBorder="1" applyAlignment="1">
      <alignment horizontal="center" vertical="center" wrapText="1"/>
    </xf>
    <xf numFmtId="0" fontId="18" fillId="36" borderId="33" xfId="0" applyFont="1" applyFill="1" applyBorder="1" applyAlignment="1">
      <alignment horizontal="center" vertical="center" wrapText="1"/>
    </xf>
    <xf numFmtId="0" fontId="18" fillId="36" borderId="34" xfId="0" applyFont="1" applyFill="1" applyBorder="1" applyAlignment="1">
      <alignment horizontal="center" vertical="center" wrapText="1"/>
    </xf>
    <xf numFmtId="0" fontId="18" fillId="36" borderId="0" xfId="0" applyFont="1" applyFill="1" applyBorder="1" applyAlignment="1">
      <alignment horizontal="center" vertical="top" wrapText="1"/>
    </xf>
    <xf numFmtId="0" fontId="18" fillId="36" borderId="25" xfId="0" applyFont="1" applyFill="1" applyBorder="1" applyAlignment="1">
      <alignment horizontal="center" vertical="top" wrapText="1"/>
    </xf>
    <xf numFmtId="0" fontId="18" fillId="36" borderId="35" xfId="0" applyFont="1" applyFill="1" applyBorder="1" applyAlignment="1">
      <alignment horizontal="center" vertical="center" wrapText="1"/>
    </xf>
    <xf numFmtId="0" fontId="18" fillId="36" borderId="36" xfId="0" applyFont="1" applyFill="1" applyBorder="1" applyAlignment="1">
      <alignment horizontal="center" vertical="center" wrapText="1"/>
    </xf>
    <xf numFmtId="0" fontId="0" fillId="0" borderId="39" xfId="0" applyFill="1" applyBorder="1" applyAlignment="1">
      <alignment horizontal="justify" vertical="top" wrapText="1"/>
    </xf>
    <xf numFmtId="0" fontId="0" fillId="0" borderId="42" xfId="0" applyFill="1" applyBorder="1" applyAlignment="1">
      <alignment horizontal="justify" vertical="top" wrapText="1"/>
    </xf>
    <xf numFmtId="0" fontId="18" fillId="0" borderId="55" xfId="0" applyFont="1" applyFill="1" applyBorder="1" applyAlignment="1">
      <alignment horizontal="justify" vertical="top" wrapText="1"/>
    </xf>
    <xf numFmtId="0" fontId="18" fillId="0" borderId="39" xfId="0" applyFont="1" applyFill="1" applyBorder="1" applyAlignment="1">
      <alignment horizontal="justify" vertical="top" wrapText="1"/>
    </xf>
    <xf numFmtId="0" fontId="18" fillId="0" borderId="56" xfId="0" applyFont="1" applyFill="1" applyBorder="1" applyAlignment="1">
      <alignment horizontal="justify" vertical="top" wrapText="1"/>
    </xf>
    <xf numFmtId="0" fontId="18" fillId="0" borderId="50" xfId="0" applyFont="1" applyBorder="1" applyAlignment="1">
      <alignment horizontal="justify" vertical="top" wrapText="1"/>
    </xf>
    <xf numFmtId="0" fontId="18" fillId="0" borderId="51" xfId="0" applyFont="1" applyBorder="1" applyAlignment="1">
      <alignment horizontal="justify" vertical="top" wrapText="1"/>
    </xf>
    <xf numFmtId="0" fontId="18" fillId="0" borderId="53" xfId="0" applyFont="1" applyBorder="1" applyAlignment="1">
      <alignment horizontal="justify" vertical="top" wrapText="1"/>
    </xf>
    <xf numFmtId="0" fontId="18" fillId="0" borderId="54" xfId="0" applyFont="1" applyBorder="1" applyAlignment="1">
      <alignment horizontal="justify" vertical="top" wrapText="1"/>
    </xf>
    <xf numFmtId="0" fontId="18" fillId="0" borderId="41" xfId="0" applyFont="1" applyFill="1" applyBorder="1" applyAlignment="1">
      <alignment horizontal="justify" vertical="top" wrapText="1"/>
    </xf>
    <xf numFmtId="0" fontId="18" fillId="0" borderId="42" xfId="0" applyFont="1" applyFill="1" applyBorder="1" applyAlignment="1">
      <alignment horizontal="justify" vertical="top" wrapText="1"/>
    </xf>
    <xf numFmtId="0" fontId="18" fillId="0" borderId="43" xfId="0" applyFont="1" applyFill="1" applyBorder="1" applyAlignment="1">
      <alignment horizontal="justify" vertical="top" wrapText="1"/>
    </xf>
    <xf numFmtId="0" fontId="18" fillId="0" borderId="57" xfId="0" applyFont="1" applyFill="1" applyBorder="1" applyAlignment="1">
      <alignment horizontal="justify" vertical="top" wrapText="1"/>
    </xf>
    <xf numFmtId="0" fontId="18" fillId="0" borderId="59" xfId="0" applyFont="1" applyFill="1" applyBorder="1" applyAlignment="1">
      <alignment horizontal="justify" vertical="top" wrapText="1"/>
    </xf>
    <xf numFmtId="0" fontId="18" fillId="0" borderId="58" xfId="0" applyFont="1" applyFill="1" applyBorder="1" applyAlignment="1">
      <alignment horizontal="justify" vertical="top" wrapText="1"/>
    </xf>
    <xf numFmtId="0" fontId="32" fillId="0" borderId="42" xfId="0" applyFont="1" applyFill="1" applyBorder="1" applyAlignment="1">
      <alignment horizontal="justify" vertical="top" wrapText="1"/>
    </xf>
    <xf numFmtId="0" fontId="32" fillId="0" borderId="39" xfId="0" applyFont="1" applyFill="1" applyBorder="1" applyAlignment="1">
      <alignment horizontal="justify" vertical="top" wrapText="1"/>
    </xf>
    <xf numFmtId="4" fontId="19" fillId="0" borderId="39" xfId="0" applyNumberFormat="1" applyFont="1" applyFill="1" applyBorder="1" applyAlignment="1">
      <alignment horizontal="right" vertical="top" wrapText="1"/>
    </xf>
    <xf numFmtId="2" fontId="0" fillId="0" borderId="40" xfId="0" applyNumberFormat="1" applyFill="1" applyBorder="1" applyAlignment="1">
      <alignment horizontal="right" vertical="top" wrapText="1"/>
    </xf>
    <xf numFmtId="4" fontId="19" fillId="0" borderId="42" xfId="0" applyNumberFormat="1" applyFont="1" applyFill="1" applyBorder="1" applyAlignment="1">
      <alignment horizontal="right" vertical="top" wrapText="1"/>
    </xf>
    <xf numFmtId="2" fontId="0" fillId="0" borderId="43" xfId="0" applyNumberFormat="1" applyFill="1" applyBorder="1" applyAlignment="1">
      <alignment horizontal="right" vertical="top" wrapText="1"/>
    </xf>
    <xf numFmtId="4" fontId="0" fillId="0" borderId="40" xfId="0" applyNumberFormat="1" applyFill="1" applyBorder="1" applyAlignment="1">
      <alignment horizontal="right" vertical="top" wrapText="1"/>
    </xf>
  </cellXfs>
  <cellStyles count="42">
    <cellStyle name="20% - Énfasis1" xfId="19" builtinId="30" customBuiltin="1"/>
    <cellStyle name="20% - Énfasis2" xfId="23" builtinId="34" customBuiltin="1"/>
    <cellStyle name="20% - Énfasis3" xfId="27" builtinId="38" customBuiltin="1"/>
    <cellStyle name="20% - Énfasis4" xfId="31" builtinId="42" customBuiltin="1"/>
    <cellStyle name="20% - Énfasis5" xfId="35" builtinId="46" customBuiltin="1"/>
    <cellStyle name="20% - Énfasis6" xfId="39" builtinId="50" customBuiltin="1"/>
    <cellStyle name="40% - Énfasis1" xfId="20" builtinId="31" customBuiltin="1"/>
    <cellStyle name="40% - Énfasis2" xfId="24" builtinId="35" customBuiltin="1"/>
    <cellStyle name="40% - Énfasis3" xfId="28" builtinId="39" customBuiltin="1"/>
    <cellStyle name="40% - Énfasis4" xfId="32" builtinId="43" customBuiltin="1"/>
    <cellStyle name="40% - Énfasis5" xfId="36" builtinId="47" customBuiltin="1"/>
    <cellStyle name="40% - Énfasis6" xfId="40" builtinId="51" customBuiltin="1"/>
    <cellStyle name="60% - Énfasis1" xfId="21" builtinId="32" customBuiltin="1"/>
    <cellStyle name="60% - Énfasis2" xfId="25" builtinId="36" customBuiltin="1"/>
    <cellStyle name="60% - Énfasis3" xfId="29" builtinId="40" customBuiltin="1"/>
    <cellStyle name="60% - Énfasis4" xfId="33" builtinId="44" customBuiltin="1"/>
    <cellStyle name="60% - Énfasis5" xfId="37" builtinId="48" customBuiltin="1"/>
    <cellStyle name="60% - Énfasis6" xfId="41" builtinId="52" customBuiltin="1"/>
    <cellStyle name="Buena" xfId="6" builtinId="26" customBuiltin="1"/>
    <cellStyle name="Cálculo" xfId="11" builtinId="22" customBuiltin="1"/>
    <cellStyle name="Celda de comprobación" xfId="13" builtinId="23" customBuiltin="1"/>
    <cellStyle name="Celda vinculada" xfId="12" builtinId="24" customBuiltin="1"/>
    <cellStyle name="Encabezado 4" xfId="5" builtinId="19" customBuiltin="1"/>
    <cellStyle name="Énfasis1" xfId="18" builtinId="29" customBuiltin="1"/>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9" builtinId="20" customBuiltin="1"/>
    <cellStyle name="Incorrecto" xfId="7" builtinId="27" customBuiltin="1"/>
    <cellStyle name="Neutral" xfId="8" builtinId="28" customBuiltin="1"/>
    <cellStyle name="Normal" xfId="0" builtinId="0" customBuiltin="1"/>
    <cellStyle name="Notas" xfId="15" builtinId="10" customBuiltin="1"/>
    <cellStyle name="Salida" xfId="10" builtinId="21" customBuiltin="1"/>
    <cellStyle name="Texto de advertencia" xfId="14" builtinId="11" customBuiltin="1"/>
    <cellStyle name="Texto explicativo" xfId="16" builtinId="53" customBuiltin="1"/>
    <cellStyle name="Título" xfId="1" builtinId="15" customBuiltin="1"/>
    <cellStyle name="Título 1" xfId="2" builtinId="16" customBuiltin="1"/>
    <cellStyle name="Título 2" xfId="3" builtinId="17" customBuiltin="1"/>
    <cellStyle name="Título 3" xfId="4" builtinId="18" customBuiltin="1"/>
    <cellStyle name="Total" xfId="17"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AD103"/>
  <sheetViews>
    <sheetView view="pageBreakPreview" topLeftCell="A43" zoomScale="80" zoomScaleNormal="80" zoomScaleSheetLayoutView="80" workbookViewId="0">
      <selection activeCell="D50" sqref="D50:AB98"/>
    </sheetView>
  </sheetViews>
  <sheetFormatPr baseColWidth="10" defaultColWidth="5" defaultRowHeight="12.75" x14ac:dyDescent="0.2"/>
  <cols>
    <col min="1" max="1" width="3.5" style="1" customWidth="1"/>
    <col min="2" max="16384" width="5" style="1"/>
  </cols>
  <sheetData>
    <row r="1" spans="2:30" s="2" customFormat="1" ht="48" customHeight="1" x14ac:dyDescent="0.2">
      <c r="B1" s="50" t="s">
        <v>0</v>
      </c>
      <c r="C1" s="50"/>
      <c r="D1" s="50"/>
      <c r="E1" s="50"/>
      <c r="F1" s="50"/>
      <c r="G1" s="50"/>
      <c r="H1" s="50"/>
      <c r="I1" s="50"/>
      <c r="J1" s="50"/>
      <c r="K1" s="50"/>
      <c r="L1" s="50"/>
      <c r="M1" s="50"/>
      <c r="N1" s="50"/>
      <c r="O1" s="50"/>
      <c r="P1" s="50"/>
      <c r="Q1" s="3" t="s">
        <v>1</v>
      </c>
    </row>
    <row r="2" spans="2:30" ht="13.5" customHeight="1" x14ac:dyDescent="0.2"/>
    <row r="3" spans="2:30" ht="13.5" customHeight="1" x14ac:dyDescent="0.2"/>
    <row r="4" spans="2:30" ht="13.5" customHeight="1" x14ac:dyDescent="0.2"/>
    <row r="5" spans="2:30" ht="13.5" customHeight="1" x14ac:dyDescent="0.2"/>
    <row r="6" spans="2:30" ht="13.5" customHeight="1" x14ac:dyDescent="0.2"/>
    <row r="7" spans="2:30" ht="13.5" customHeight="1" x14ac:dyDescent="0.2"/>
    <row r="8" spans="2:30" ht="13.5" customHeight="1" x14ac:dyDescent="0.2"/>
    <row r="9" spans="2:30" ht="13.5" customHeight="1" x14ac:dyDescent="0.2"/>
    <row r="10" spans="2:30" ht="13.5" customHeight="1" x14ac:dyDescent="0.2"/>
    <row r="11" spans="2:30" ht="13.5" customHeight="1" x14ac:dyDescent="0.2">
      <c r="B11" s="51" t="s">
        <v>2</v>
      </c>
      <c r="C11" s="51"/>
      <c r="D11" s="51"/>
      <c r="E11" s="51"/>
      <c r="F11" s="51"/>
      <c r="G11" s="51"/>
      <c r="H11" s="51"/>
      <c r="I11" s="51"/>
      <c r="J11" s="51"/>
      <c r="K11" s="51"/>
      <c r="L11" s="51"/>
      <c r="M11" s="51"/>
      <c r="N11" s="51"/>
      <c r="O11" s="51"/>
      <c r="P11" s="51"/>
      <c r="Q11" s="51"/>
      <c r="R11" s="51"/>
      <c r="S11" s="51"/>
      <c r="T11" s="51"/>
      <c r="U11" s="51"/>
      <c r="V11" s="51"/>
      <c r="W11" s="51"/>
      <c r="X11" s="51"/>
      <c r="Y11" s="51"/>
      <c r="Z11" s="51"/>
      <c r="AA11" s="51"/>
      <c r="AB11" s="51"/>
      <c r="AC11" s="51"/>
      <c r="AD11" s="51"/>
    </row>
    <row r="12" spans="2:30" ht="13.5" customHeight="1" x14ac:dyDescent="0.2">
      <c r="B12" s="51"/>
      <c r="C12" s="51"/>
      <c r="D12" s="51"/>
      <c r="E12" s="51"/>
      <c r="F12" s="51"/>
      <c r="G12" s="51"/>
      <c r="H12" s="51"/>
      <c r="I12" s="51"/>
      <c r="J12" s="51"/>
      <c r="K12" s="51"/>
      <c r="L12" s="51"/>
      <c r="M12" s="51"/>
      <c r="N12" s="51"/>
      <c r="O12" s="51"/>
      <c r="P12" s="51"/>
      <c r="Q12" s="51"/>
      <c r="R12" s="51"/>
      <c r="S12" s="51"/>
      <c r="T12" s="51"/>
      <c r="U12" s="51"/>
      <c r="V12" s="51"/>
      <c r="W12" s="51"/>
      <c r="X12" s="51"/>
      <c r="Y12" s="51"/>
      <c r="Z12" s="51"/>
      <c r="AA12" s="51"/>
      <c r="AB12" s="51"/>
      <c r="AC12" s="51"/>
      <c r="AD12" s="51"/>
    </row>
    <row r="13" spans="2:30" ht="13.5" customHeight="1" x14ac:dyDescent="0.2">
      <c r="B13" s="51"/>
      <c r="C13" s="51"/>
      <c r="D13" s="51"/>
      <c r="E13" s="51"/>
      <c r="F13" s="51"/>
      <c r="G13" s="51"/>
      <c r="H13" s="51"/>
      <c r="I13" s="51"/>
      <c r="J13" s="51"/>
      <c r="K13" s="51"/>
      <c r="L13" s="51"/>
      <c r="M13" s="51"/>
      <c r="N13" s="51"/>
      <c r="O13" s="51"/>
      <c r="P13" s="51"/>
      <c r="Q13" s="51"/>
      <c r="R13" s="51"/>
      <c r="S13" s="51"/>
      <c r="T13" s="51"/>
      <c r="U13" s="51"/>
      <c r="V13" s="51"/>
      <c r="W13" s="51"/>
      <c r="X13" s="51"/>
      <c r="Y13" s="51"/>
      <c r="Z13" s="51"/>
      <c r="AA13" s="51"/>
      <c r="AB13" s="51"/>
      <c r="AC13" s="51"/>
      <c r="AD13" s="51"/>
    </row>
    <row r="14" spans="2:30" ht="13.5" customHeight="1" x14ac:dyDescent="0.2">
      <c r="B14" s="51"/>
      <c r="C14" s="51"/>
      <c r="D14" s="51"/>
      <c r="E14" s="51"/>
      <c r="F14" s="51"/>
      <c r="G14" s="51"/>
      <c r="H14" s="51"/>
      <c r="I14" s="51"/>
      <c r="J14" s="51"/>
      <c r="K14" s="51"/>
      <c r="L14" s="51"/>
      <c r="M14" s="51"/>
      <c r="N14" s="51"/>
      <c r="O14" s="51"/>
      <c r="P14" s="51"/>
      <c r="Q14" s="51"/>
      <c r="R14" s="51"/>
      <c r="S14" s="51"/>
      <c r="T14" s="51"/>
      <c r="U14" s="51"/>
      <c r="V14" s="51"/>
      <c r="W14" s="51"/>
      <c r="X14" s="51"/>
      <c r="Y14" s="51"/>
      <c r="Z14" s="51"/>
      <c r="AA14" s="51"/>
      <c r="AB14" s="51"/>
      <c r="AC14" s="51"/>
      <c r="AD14" s="51"/>
    </row>
    <row r="15" spans="2:30" ht="13.5" customHeight="1" x14ac:dyDescent="0.2">
      <c r="B15" s="51"/>
      <c r="C15" s="51"/>
      <c r="D15" s="51"/>
      <c r="E15" s="51"/>
      <c r="F15" s="51"/>
      <c r="G15" s="51"/>
      <c r="H15" s="51"/>
      <c r="I15" s="51"/>
      <c r="J15" s="51"/>
      <c r="K15" s="51"/>
      <c r="L15" s="51"/>
      <c r="M15" s="51"/>
      <c r="N15" s="51"/>
      <c r="O15" s="51"/>
      <c r="P15" s="51"/>
      <c r="Q15" s="51"/>
      <c r="R15" s="51"/>
      <c r="S15" s="51"/>
      <c r="T15" s="51"/>
      <c r="U15" s="51"/>
      <c r="V15" s="51"/>
      <c r="W15" s="51"/>
      <c r="X15" s="51"/>
      <c r="Y15" s="51"/>
      <c r="Z15" s="51"/>
      <c r="AA15" s="51"/>
      <c r="AB15" s="51"/>
      <c r="AC15" s="51"/>
      <c r="AD15" s="51"/>
    </row>
    <row r="16" spans="2:30" ht="13.5" customHeight="1" x14ac:dyDescent="0.2">
      <c r="B16" s="51"/>
      <c r="C16" s="51"/>
      <c r="D16" s="51"/>
      <c r="E16" s="51"/>
      <c r="F16" s="51"/>
      <c r="G16" s="51"/>
      <c r="H16" s="51"/>
      <c r="I16" s="51"/>
      <c r="J16" s="51"/>
      <c r="K16" s="51"/>
      <c r="L16" s="51"/>
      <c r="M16" s="51"/>
      <c r="N16" s="51"/>
      <c r="O16" s="51"/>
      <c r="P16" s="51"/>
      <c r="Q16" s="51"/>
      <c r="R16" s="51"/>
      <c r="S16" s="51"/>
      <c r="T16" s="51"/>
      <c r="U16" s="51"/>
      <c r="V16" s="51"/>
      <c r="W16" s="51"/>
      <c r="X16" s="51"/>
      <c r="Y16" s="51"/>
      <c r="Z16" s="51"/>
      <c r="AA16" s="51"/>
      <c r="AB16" s="51"/>
      <c r="AC16" s="51"/>
      <c r="AD16" s="51"/>
    </row>
    <row r="17" spans="2:30" ht="13.5" customHeight="1" x14ac:dyDescent="0.2">
      <c r="B17" s="51"/>
      <c r="C17" s="51"/>
      <c r="D17" s="51"/>
      <c r="E17" s="51"/>
      <c r="F17" s="51"/>
      <c r="G17" s="51"/>
      <c r="H17" s="51"/>
      <c r="I17" s="51"/>
      <c r="J17" s="51"/>
      <c r="K17" s="51"/>
      <c r="L17" s="51"/>
      <c r="M17" s="51"/>
      <c r="N17" s="51"/>
      <c r="O17" s="51"/>
      <c r="P17" s="51"/>
      <c r="Q17" s="51"/>
      <c r="R17" s="51"/>
      <c r="S17" s="51"/>
      <c r="T17" s="51"/>
      <c r="U17" s="51"/>
      <c r="V17" s="51"/>
      <c r="W17" s="51"/>
      <c r="X17" s="51"/>
      <c r="Y17" s="51"/>
      <c r="Z17" s="51"/>
      <c r="AA17" s="51"/>
      <c r="AB17" s="51"/>
      <c r="AC17" s="51"/>
      <c r="AD17" s="51"/>
    </row>
    <row r="18" spans="2:30" ht="13.5" customHeight="1" x14ac:dyDescent="0.2">
      <c r="B18" s="51"/>
      <c r="C18" s="51"/>
      <c r="D18" s="51"/>
      <c r="E18" s="51"/>
      <c r="F18" s="51"/>
      <c r="G18" s="51"/>
      <c r="H18" s="51"/>
      <c r="I18" s="51"/>
      <c r="J18" s="51"/>
      <c r="K18" s="51"/>
      <c r="L18" s="51"/>
      <c r="M18" s="51"/>
      <c r="N18" s="51"/>
      <c r="O18" s="51"/>
      <c r="P18" s="51"/>
      <c r="Q18" s="51"/>
      <c r="R18" s="51"/>
      <c r="S18" s="51"/>
      <c r="T18" s="51"/>
      <c r="U18" s="51"/>
      <c r="V18" s="51"/>
      <c r="W18" s="51"/>
      <c r="X18" s="51"/>
      <c r="Y18" s="51"/>
      <c r="Z18" s="51"/>
      <c r="AA18" s="51"/>
      <c r="AB18" s="51"/>
      <c r="AC18" s="51"/>
      <c r="AD18" s="51"/>
    </row>
    <row r="19" spans="2:30" ht="13.5" customHeight="1" x14ac:dyDescent="0.2">
      <c r="B19" s="51"/>
      <c r="C19" s="51"/>
      <c r="D19" s="51"/>
      <c r="E19" s="51"/>
      <c r="F19" s="51"/>
      <c r="G19" s="51"/>
      <c r="H19" s="51"/>
      <c r="I19" s="51"/>
      <c r="J19" s="51"/>
      <c r="K19" s="51"/>
      <c r="L19" s="51"/>
      <c r="M19" s="51"/>
      <c r="N19" s="51"/>
      <c r="O19" s="51"/>
      <c r="P19" s="51"/>
      <c r="Q19" s="51"/>
      <c r="R19" s="51"/>
      <c r="S19" s="51"/>
      <c r="T19" s="51"/>
      <c r="U19" s="51"/>
      <c r="V19" s="51"/>
      <c r="W19" s="51"/>
      <c r="X19" s="51"/>
      <c r="Y19" s="51"/>
      <c r="Z19" s="51"/>
      <c r="AA19" s="51"/>
      <c r="AB19" s="51"/>
      <c r="AC19" s="51"/>
      <c r="AD19" s="51"/>
    </row>
    <row r="20" spans="2:30" ht="13.5" customHeight="1" x14ac:dyDescent="0.2">
      <c r="B20" s="51"/>
      <c r="C20" s="51"/>
      <c r="D20" s="51"/>
      <c r="E20" s="51"/>
      <c r="F20" s="51"/>
      <c r="G20" s="51"/>
      <c r="H20" s="51"/>
      <c r="I20" s="51"/>
      <c r="J20" s="51"/>
      <c r="K20" s="51"/>
      <c r="L20" s="51"/>
      <c r="M20" s="51"/>
      <c r="N20" s="51"/>
      <c r="O20" s="51"/>
      <c r="P20" s="51"/>
      <c r="Q20" s="51"/>
      <c r="R20" s="51"/>
      <c r="S20" s="51"/>
      <c r="T20" s="51"/>
      <c r="U20" s="51"/>
      <c r="V20" s="51"/>
      <c r="W20" s="51"/>
      <c r="X20" s="51"/>
      <c r="Y20" s="51"/>
      <c r="Z20" s="51"/>
      <c r="AA20" s="51"/>
      <c r="AB20" s="51"/>
      <c r="AC20" s="51"/>
      <c r="AD20" s="51"/>
    </row>
    <row r="21" spans="2:30" ht="13.5" customHeight="1" x14ac:dyDescent="0.2">
      <c r="B21" s="51"/>
      <c r="C21" s="51"/>
      <c r="D21" s="51"/>
      <c r="E21" s="51"/>
      <c r="F21" s="51"/>
      <c r="G21" s="51"/>
      <c r="H21" s="51"/>
      <c r="I21" s="51"/>
      <c r="J21" s="51"/>
      <c r="K21" s="51"/>
      <c r="L21" s="51"/>
      <c r="M21" s="51"/>
      <c r="N21" s="51"/>
      <c r="O21" s="51"/>
      <c r="P21" s="51"/>
      <c r="Q21" s="51"/>
      <c r="R21" s="51"/>
      <c r="S21" s="51"/>
      <c r="T21" s="51"/>
      <c r="U21" s="51"/>
      <c r="V21" s="51"/>
      <c r="W21" s="51"/>
      <c r="X21" s="51"/>
      <c r="Y21" s="51"/>
      <c r="Z21" s="51"/>
      <c r="AA21" s="51"/>
      <c r="AB21" s="51"/>
      <c r="AC21" s="51"/>
      <c r="AD21" s="51"/>
    </row>
    <row r="22" spans="2:30" ht="13.5" customHeight="1" x14ac:dyDescent="0.2">
      <c r="B22" s="51"/>
      <c r="C22" s="51"/>
      <c r="D22" s="51"/>
      <c r="E22" s="51"/>
      <c r="F22" s="51"/>
      <c r="G22" s="51"/>
      <c r="H22" s="51"/>
      <c r="I22" s="51"/>
      <c r="J22" s="51"/>
      <c r="K22" s="51"/>
      <c r="L22" s="51"/>
      <c r="M22" s="51"/>
      <c r="N22" s="51"/>
      <c r="O22" s="51"/>
      <c r="P22" s="51"/>
      <c r="Q22" s="51"/>
      <c r="R22" s="51"/>
      <c r="S22" s="51"/>
      <c r="T22" s="51"/>
      <c r="U22" s="51"/>
      <c r="V22" s="51"/>
      <c r="W22" s="51"/>
      <c r="X22" s="51"/>
      <c r="Y22" s="51"/>
      <c r="Z22" s="51"/>
      <c r="AA22" s="51"/>
      <c r="AB22" s="51"/>
      <c r="AC22" s="51"/>
      <c r="AD22" s="51"/>
    </row>
    <row r="23" spans="2:30" ht="13.5" customHeight="1" x14ac:dyDescent="0.2">
      <c r="B23" s="51"/>
      <c r="C23" s="51"/>
      <c r="D23" s="51"/>
      <c r="E23" s="51"/>
      <c r="F23" s="51"/>
      <c r="G23" s="51"/>
      <c r="H23" s="51"/>
      <c r="I23" s="51"/>
      <c r="J23" s="51"/>
      <c r="K23" s="51"/>
      <c r="L23" s="51"/>
      <c r="M23" s="51"/>
      <c r="N23" s="51"/>
      <c r="O23" s="51"/>
      <c r="P23" s="51"/>
      <c r="Q23" s="51"/>
      <c r="R23" s="51"/>
      <c r="S23" s="51"/>
      <c r="T23" s="51"/>
      <c r="U23" s="51"/>
      <c r="V23" s="51"/>
      <c r="W23" s="51"/>
      <c r="X23" s="51"/>
      <c r="Y23" s="51"/>
      <c r="Z23" s="51"/>
      <c r="AA23" s="51"/>
      <c r="AB23" s="51"/>
      <c r="AC23" s="51"/>
      <c r="AD23" s="51"/>
    </row>
    <row r="24" spans="2:30" ht="13.5" customHeight="1" x14ac:dyDescent="0.2">
      <c r="B24" s="51"/>
      <c r="C24" s="51"/>
      <c r="D24" s="51"/>
      <c r="E24" s="51"/>
      <c r="F24" s="51"/>
      <c r="G24" s="51"/>
      <c r="H24" s="51"/>
      <c r="I24" s="51"/>
      <c r="J24" s="51"/>
      <c r="K24" s="51"/>
      <c r="L24" s="51"/>
      <c r="M24" s="51"/>
      <c r="N24" s="51"/>
      <c r="O24" s="51"/>
      <c r="P24" s="51"/>
      <c r="Q24" s="51"/>
      <c r="R24" s="51"/>
      <c r="S24" s="51"/>
      <c r="T24" s="51"/>
      <c r="U24" s="51"/>
      <c r="V24" s="51"/>
      <c r="W24" s="51"/>
      <c r="X24" s="51"/>
      <c r="Y24" s="51"/>
      <c r="Z24" s="51"/>
      <c r="AA24" s="51"/>
      <c r="AB24" s="51"/>
      <c r="AC24" s="51"/>
      <c r="AD24" s="51"/>
    </row>
    <row r="25" spans="2:30" ht="13.5" customHeight="1" x14ac:dyDescent="0.2">
      <c r="B25" s="51"/>
      <c r="C25" s="51"/>
      <c r="D25" s="51"/>
      <c r="E25" s="51"/>
      <c r="F25" s="51"/>
      <c r="G25" s="51"/>
      <c r="H25" s="51"/>
      <c r="I25" s="51"/>
      <c r="J25" s="51"/>
      <c r="K25" s="51"/>
      <c r="L25" s="51"/>
      <c r="M25" s="51"/>
      <c r="N25" s="51"/>
      <c r="O25" s="51"/>
      <c r="P25" s="51"/>
      <c r="Q25" s="51"/>
      <c r="R25" s="51"/>
      <c r="S25" s="51"/>
      <c r="T25" s="51"/>
      <c r="U25" s="51"/>
      <c r="V25" s="51"/>
      <c r="W25" s="51"/>
      <c r="X25" s="51"/>
      <c r="Y25" s="51"/>
      <c r="Z25" s="51"/>
      <c r="AA25" s="51"/>
      <c r="AB25" s="51"/>
      <c r="AC25" s="51"/>
      <c r="AD25" s="51"/>
    </row>
    <row r="26" spans="2:30" ht="13.5" customHeight="1" x14ac:dyDescent="0.2">
      <c r="B26" s="51"/>
      <c r="C26" s="51"/>
      <c r="D26" s="51"/>
      <c r="E26" s="51"/>
      <c r="F26" s="51"/>
      <c r="G26" s="51"/>
      <c r="H26" s="51"/>
      <c r="I26" s="51"/>
      <c r="J26" s="51"/>
      <c r="K26" s="51"/>
      <c r="L26" s="51"/>
      <c r="M26" s="51"/>
      <c r="N26" s="51"/>
      <c r="O26" s="51"/>
      <c r="P26" s="51"/>
      <c r="Q26" s="51"/>
      <c r="R26" s="51"/>
      <c r="S26" s="51"/>
      <c r="T26" s="51"/>
      <c r="U26" s="51"/>
      <c r="V26" s="51"/>
      <c r="W26" s="51"/>
      <c r="X26" s="51"/>
      <c r="Y26" s="51"/>
      <c r="Z26" s="51"/>
      <c r="AA26" s="51"/>
      <c r="AB26" s="51"/>
      <c r="AC26" s="51"/>
      <c r="AD26" s="51"/>
    </row>
    <row r="27" spans="2:30" ht="13.5" customHeight="1" x14ac:dyDescent="0.2">
      <c r="B27" s="51"/>
      <c r="C27" s="51"/>
      <c r="D27" s="51"/>
      <c r="E27" s="51"/>
      <c r="F27" s="51"/>
      <c r="G27" s="51"/>
      <c r="H27" s="51"/>
      <c r="I27" s="51"/>
      <c r="J27" s="51"/>
      <c r="K27" s="51"/>
      <c r="L27" s="51"/>
      <c r="M27" s="51"/>
      <c r="N27" s="51"/>
      <c r="O27" s="51"/>
      <c r="P27" s="51"/>
      <c r="Q27" s="51"/>
      <c r="R27" s="51"/>
      <c r="S27" s="51"/>
      <c r="T27" s="51"/>
      <c r="U27" s="51"/>
      <c r="V27" s="51"/>
      <c r="W27" s="51"/>
      <c r="X27" s="51"/>
      <c r="Y27" s="51"/>
      <c r="Z27" s="51"/>
      <c r="AA27" s="51"/>
      <c r="AB27" s="51"/>
      <c r="AC27" s="51"/>
      <c r="AD27" s="51"/>
    </row>
    <row r="28" spans="2:30" ht="13.5" customHeight="1" x14ac:dyDescent="0.2">
      <c r="B28" s="51"/>
      <c r="C28" s="51"/>
      <c r="D28" s="51"/>
      <c r="E28" s="51"/>
      <c r="F28" s="51"/>
      <c r="G28" s="51"/>
      <c r="H28" s="51"/>
      <c r="I28" s="51"/>
      <c r="J28" s="51"/>
      <c r="K28" s="51"/>
      <c r="L28" s="51"/>
      <c r="M28" s="51"/>
      <c r="N28" s="51"/>
      <c r="O28" s="51"/>
      <c r="P28" s="51"/>
      <c r="Q28" s="51"/>
      <c r="R28" s="51"/>
      <c r="S28" s="51"/>
      <c r="T28" s="51"/>
      <c r="U28" s="51"/>
      <c r="V28" s="51"/>
      <c r="W28" s="51"/>
      <c r="X28" s="51"/>
      <c r="Y28" s="51"/>
      <c r="Z28" s="51"/>
      <c r="AA28" s="51"/>
      <c r="AB28" s="51"/>
      <c r="AC28" s="51"/>
      <c r="AD28" s="51"/>
    </row>
    <row r="29" spans="2:30" ht="13.5" customHeight="1" x14ac:dyDescent="0.2">
      <c r="B29" s="51"/>
      <c r="C29" s="51"/>
      <c r="D29" s="51"/>
      <c r="E29" s="51"/>
      <c r="F29" s="51"/>
      <c r="G29" s="51"/>
      <c r="H29" s="51"/>
      <c r="I29" s="51"/>
      <c r="J29" s="51"/>
      <c r="K29" s="51"/>
      <c r="L29" s="51"/>
      <c r="M29" s="51"/>
      <c r="N29" s="51"/>
      <c r="O29" s="51"/>
      <c r="P29" s="51"/>
      <c r="Q29" s="51"/>
      <c r="R29" s="51"/>
      <c r="S29" s="51"/>
      <c r="T29" s="51"/>
      <c r="U29" s="51"/>
      <c r="V29" s="51"/>
      <c r="W29" s="51"/>
      <c r="X29" s="51"/>
      <c r="Y29" s="51"/>
      <c r="Z29" s="51"/>
      <c r="AA29" s="51"/>
      <c r="AB29" s="51"/>
      <c r="AC29" s="51"/>
      <c r="AD29" s="51"/>
    </row>
    <row r="30" spans="2:30" ht="13.5" customHeight="1" x14ac:dyDescent="0.2">
      <c r="B30" s="51"/>
      <c r="C30" s="51"/>
      <c r="D30" s="51"/>
      <c r="E30" s="51"/>
      <c r="F30" s="51"/>
      <c r="G30" s="51"/>
      <c r="H30" s="51"/>
      <c r="I30" s="51"/>
      <c r="J30" s="51"/>
      <c r="K30" s="51"/>
      <c r="L30" s="51"/>
      <c r="M30" s="51"/>
      <c r="N30" s="51"/>
      <c r="O30" s="51"/>
      <c r="P30" s="51"/>
      <c r="Q30" s="51"/>
      <c r="R30" s="51"/>
      <c r="S30" s="51"/>
      <c r="T30" s="51"/>
      <c r="U30" s="51"/>
      <c r="V30" s="51"/>
      <c r="W30" s="51"/>
      <c r="X30" s="51"/>
      <c r="Y30" s="51"/>
      <c r="Z30" s="51"/>
      <c r="AA30" s="51"/>
      <c r="AB30" s="51"/>
      <c r="AC30" s="51"/>
      <c r="AD30" s="51"/>
    </row>
    <row r="31" spans="2:30" ht="13.5" customHeight="1" x14ac:dyDescent="0.2">
      <c r="B31" s="51"/>
      <c r="C31" s="51"/>
      <c r="D31" s="51"/>
      <c r="E31" s="51"/>
      <c r="F31" s="51"/>
      <c r="G31" s="51"/>
      <c r="H31" s="51"/>
      <c r="I31" s="51"/>
      <c r="J31" s="51"/>
      <c r="K31" s="51"/>
      <c r="L31" s="51"/>
      <c r="M31" s="51"/>
      <c r="N31" s="51"/>
      <c r="O31" s="51"/>
      <c r="P31" s="51"/>
      <c r="Q31" s="51"/>
      <c r="R31" s="51"/>
      <c r="S31" s="51"/>
      <c r="T31" s="51"/>
      <c r="U31" s="51"/>
      <c r="V31" s="51"/>
      <c r="W31" s="51"/>
      <c r="X31" s="51"/>
      <c r="Y31" s="51"/>
      <c r="Z31" s="51"/>
      <c r="AA31" s="51"/>
      <c r="AB31" s="51"/>
      <c r="AC31" s="51"/>
      <c r="AD31" s="51"/>
    </row>
    <row r="32" spans="2:30" ht="13.5" customHeight="1" x14ac:dyDescent="0.2">
      <c r="B32" s="51"/>
      <c r="C32" s="51"/>
      <c r="D32" s="51"/>
      <c r="E32" s="51"/>
      <c r="F32" s="51"/>
      <c r="G32" s="51"/>
      <c r="H32" s="51"/>
      <c r="I32" s="51"/>
      <c r="J32" s="51"/>
      <c r="K32" s="51"/>
      <c r="L32" s="51"/>
      <c r="M32" s="51"/>
      <c r="N32" s="51"/>
      <c r="O32" s="51"/>
      <c r="P32" s="51"/>
      <c r="Q32" s="51"/>
      <c r="R32" s="51"/>
      <c r="S32" s="51"/>
      <c r="T32" s="51"/>
      <c r="U32" s="51"/>
      <c r="V32" s="51"/>
      <c r="W32" s="51"/>
      <c r="X32" s="51"/>
      <c r="Y32" s="51"/>
      <c r="Z32" s="51"/>
      <c r="AA32" s="51"/>
      <c r="AB32" s="51"/>
      <c r="AC32" s="51"/>
      <c r="AD32" s="51"/>
    </row>
    <row r="33" spans="2:30" ht="13.5" customHeight="1" x14ac:dyDescent="0.2">
      <c r="B33" s="51"/>
      <c r="C33" s="51"/>
      <c r="D33" s="51"/>
      <c r="E33" s="51"/>
      <c r="F33" s="51"/>
      <c r="G33" s="51"/>
      <c r="H33" s="51"/>
      <c r="I33" s="51"/>
      <c r="J33" s="51"/>
      <c r="K33" s="51"/>
      <c r="L33" s="51"/>
      <c r="M33" s="51"/>
      <c r="N33" s="51"/>
      <c r="O33" s="51"/>
      <c r="P33" s="51"/>
      <c r="Q33" s="51"/>
      <c r="R33" s="51"/>
      <c r="S33" s="51"/>
      <c r="T33" s="51"/>
      <c r="U33" s="51"/>
      <c r="V33" s="51"/>
      <c r="W33" s="51"/>
      <c r="X33" s="51"/>
      <c r="Y33" s="51"/>
      <c r="Z33" s="51"/>
      <c r="AA33" s="51"/>
      <c r="AB33" s="51"/>
      <c r="AC33" s="51"/>
      <c r="AD33" s="51"/>
    </row>
    <row r="34" spans="2:30" ht="13.5" customHeight="1" x14ac:dyDescent="0.2">
      <c r="B34" s="51"/>
      <c r="C34" s="51"/>
      <c r="D34" s="51"/>
      <c r="E34" s="51"/>
      <c r="F34" s="51"/>
      <c r="G34" s="51"/>
      <c r="H34" s="51"/>
      <c r="I34" s="51"/>
      <c r="J34" s="51"/>
      <c r="K34" s="51"/>
      <c r="L34" s="51"/>
      <c r="M34" s="51"/>
      <c r="N34" s="51"/>
      <c r="O34" s="51"/>
      <c r="P34" s="51"/>
      <c r="Q34" s="51"/>
      <c r="R34" s="51"/>
      <c r="S34" s="51"/>
      <c r="T34" s="51"/>
      <c r="U34" s="51"/>
      <c r="V34" s="51"/>
      <c r="W34" s="51"/>
      <c r="X34" s="51"/>
      <c r="Y34" s="51"/>
      <c r="Z34" s="51"/>
      <c r="AA34" s="51"/>
      <c r="AB34" s="51"/>
      <c r="AC34" s="51"/>
      <c r="AD34" s="51"/>
    </row>
    <row r="35" spans="2:30" ht="13.5" customHeight="1" x14ac:dyDescent="0.2"/>
    <row r="36" spans="2:30" ht="13.5" customHeight="1" x14ac:dyDescent="0.2"/>
    <row r="37" spans="2:30" ht="13.5" customHeight="1" x14ac:dyDescent="0.2"/>
    <row r="38" spans="2:30" ht="13.5" customHeight="1" x14ac:dyDescent="0.2"/>
    <row r="39" spans="2:30" ht="13.5" customHeight="1" x14ac:dyDescent="0.2"/>
    <row r="40" spans="2:30" ht="13.5" customHeight="1" x14ac:dyDescent="0.2"/>
    <row r="41" spans="2:30" ht="13.5" customHeight="1" x14ac:dyDescent="0.2"/>
    <row r="42" spans="2:30" ht="13.5" customHeight="1" x14ac:dyDescent="0.2"/>
    <row r="43" spans="2:30" ht="13.5" customHeight="1" x14ac:dyDescent="0.2"/>
    <row r="44" spans="2:30" ht="13.5" customHeight="1" x14ac:dyDescent="0.2"/>
    <row r="45" spans="2:30" ht="13.5" customHeight="1" x14ac:dyDescent="0.2"/>
    <row r="46" spans="2:30" ht="13.5" customHeight="1" x14ac:dyDescent="0.2"/>
    <row r="47" spans="2:30" ht="13.5" customHeight="1" x14ac:dyDescent="0.2"/>
    <row r="48" spans="2:30" ht="13.5" customHeight="1" x14ac:dyDescent="0.2"/>
    <row r="49" spans="4:28" ht="20.25" customHeight="1" x14ac:dyDescent="0.2">
      <c r="D49" s="52" t="s">
        <v>3</v>
      </c>
      <c r="E49" s="52"/>
      <c r="F49" s="52"/>
      <c r="G49" s="52"/>
      <c r="H49" s="52"/>
      <c r="I49" s="52"/>
      <c r="J49" s="52"/>
      <c r="K49" s="52"/>
      <c r="L49" s="52"/>
      <c r="M49" s="52"/>
      <c r="N49" s="52"/>
      <c r="O49" s="52"/>
      <c r="P49" s="52"/>
      <c r="Q49" s="52"/>
      <c r="R49" s="52"/>
      <c r="S49" s="52"/>
      <c r="T49" s="52"/>
      <c r="U49" s="52"/>
      <c r="V49" s="52"/>
      <c r="W49" s="52"/>
      <c r="X49" s="52"/>
      <c r="Y49" s="52"/>
      <c r="Z49" s="52"/>
      <c r="AA49" s="52"/>
      <c r="AB49" s="52"/>
    </row>
    <row r="50" spans="4:28" ht="13.5" customHeight="1" x14ac:dyDescent="0.2">
      <c r="D50" s="53" t="s">
        <v>4</v>
      </c>
      <c r="E50" s="53"/>
      <c r="F50" s="53"/>
      <c r="G50" s="53"/>
      <c r="H50" s="53"/>
      <c r="I50" s="53"/>
      <c r="J50" s="53"/>
      <c r="K50" s="53"/>
      <c r="L50" s="53"/>
      <c r="M50" s="53"/>
      <c r="N50" s="53"/>
      <c r="O50" s="53"/>
      <c r="P50" s="53"/>
      <c r="Q50" s="53"/>
      <c r="R50" s="53"/>
      <c r="S50" s="53"/>
      <c r="T50" s="53"/>
      <c r="U50" s="53"/>
      <c r="V50" s="53"/>
      <c r="W50" s="53"/>
      <c r="X50" s="53"/>
      <c r="Y50" s="53"/>
      <c r="Z50" s="53"/>
      <c r="AA50" s="53"/>
      <c r="AB50" s="53"/>
    </row>
    <row r="51" spans="4:28" ht="13.5" customHeight="1" x14ac:dyDescent="0.2">
      <c r="D51" s="53"/>
      <c r="E51" s="53"/>
      <c r="F51" s="53"/>
      <c r="G51" s="53"/>
      <c r="H51" s="53"/>
      <c r="I51" s="53"/>
      <c r="J51" s="53"/>
      <c r="K51" s="53"/>
      <c r="L51" s="53"/>
      <c r="M51" s="53"/>
      <c r="N51" s="53"/>
      <c r="O51" s="53"/>
      <c r="P51" s="53"/>
      <c r="Q51" s="53"/>
      <c r="R51" s="53"/>
      <c r="S51" s="53"/>
      <c r="T51" s="53"/>
      <c r="U51" s="53"/>
      <c r="V51" s="53"/>
      <c r="W51" s="53"/>
      <c r="X51" s="53"/>
      <c r="Y51" s="53"/>
      <c r="Z51" s="53"/>
      <c r="AA51" s="53"/>
      <c r="AB51" s="53"/>
    </row>
    <row r="52" spans="4:28" ht="13.5" customHeight="1" x14ac:dyDescent="0.2">
      <c r="D52" s="53"/>
      <c r="E52" s="53"/>
      <c r="F52" s="53"/>
      <c r="G52" s="53"/>
      <c r="H52" s="53"/>
      <c r="I52" s="53"/>
      <c r="J52" s="53"/>
      <c r="K52" s="53"/>
      <c r="L52" s="53"/>
      <c r="M52" s="53"/>
      <c r="N52" s="53"/>
      <c r="O52" s="53"/>
      <c r="P52" s="53"/>
      <c r="Q52" s="53"/>
      <c r="R52" s="53"/>
      <c r="S52" s="53"/>
      <c r="T52" s="53"/>
      <c r="U52" s="53"/>
      <c r="V52" s="53"/>
      <c r="W52" s="53"/>
      <c r="X52" s="53"/>
      <c r="Y52" s="53"/>
      <c r="Z52" s="53"/>
      <c r="AA52" s="53"/>
      <c r="AB52" s="53"/>
    </row>
    <row r="53" spans="4:28" ht="13.5" customHeight="1" x14ac:dyDescent="0.2">
      <c r="D53" s="53"/>
      <c r="E53" s="53"/>
      <c r="F53" s="53"/>
      <c r="G53" s="53"/>
      <c r="H53" s="53"/>
      <c r="I53" s="53"/>
      <c r="J53" s="53"/>
      <c r="K53" s="53"/>
      <c r="L53" s="53"/>
      <c r="M53" s="53"/>
      <c r="N53" s="53"/>
      <c r="O53" s="53"/>
      <c r="P53" s="53"/>
      <c r="Q53" s="53"/>
      <c r="R53" s="53"/>
      <c r="S53" s="53"/>
      <c r="T53" s="53"/>
      <c r="U53" s="53"/>
      <c r="V53" s="53"/>
      <c r="W53" s="53"/>
      <c r="X53" s="53"/>
      <c r="Y53" s="53"/>
      <c r="Z53" s="53"/>
      <c r="AA53" s="53"/>
      <c r="AB53" s="53"/>
    </row>
    <row r="54" spans="4:28" ht="13.5" customHeight="1" x14ac:dyDescent="0.2">
      <c r="D54" s="53"/>
      <c r="E54" s="53"/>
      <c r="F54" s="53"/>
      <c r="G54" s="53"/>
      <c r="H54" s="53"/>
      <c r="I54" s="53"/>
      <c r="J54" s="53"/>
      <c r="K54" s="53"/>
      <c r="L54" s="53"/>
      <c r="M54" s="53"/>
      <c r="N54" s="53"/>
      <c r="O54" s="53"/>
      <c r="P54" s="53"/>
      <c r="Q54" s="53"/>
      <c r="R54" s="53"/>
      <c r="S54" s="53"/>
      <c r="T54" s="53"/>
      <c r="U54" s="53"/>
      <c r="V54" s="53"/>
      <c r="W54" s="53"/>
      <c r="X54" s="53"/>
      <c r="Y54" s="53"/>
      <c r="Z54" s="53"/>
      <c r="AA54" s="53"/>
      <c r="AB54" s="53"/>
    </row>
    <row r="55" spans="4:28" ht="13.5" customHeight="1" x14ac:dyDescent="0.2">
      <c r="D55" s="53"/>
      <c r="E55" s="53"/>
      <c r="F55" s="53"/>
      <c r="G55" s="53"/>
      <c r="H55" s="53"/>
      <c r="I55" s="53"/>
      <c r="J55" s="53"/>
      <c r="K55" s="53"/>
      <c r="L55" s="53"/>
      <c r="M55" s="53"/>
      <c r="N55" s="53"/>
      <c r="O55" s="53"/>
      <c r="P55" s="53"/>
      <c r="Q55" s="53"/>
      <c r="R55" s="53"/>
      <c r="S55" s="53"/>
      <c r="T55" s="53"/>
      <c r="U55" s="53"/>
      <c r="V55" s="53"/>
      <c r="W55" s="53"/>
      <c r="X55" s="53"/>
      <c r="Y55" s="53"/>
      <c r="Z55" s="53"/>
      <c r="AA55" s="53"/>
      <c r="AB55" s="53"/>
    </row>
    <row r="56" spans="4:28" ht="13.5" customHeight="1" x14ac:dyDescent="0.2">
      <c r="D56" s="53"/>
      <c r="E56" s="53"/>
      <c r="F56" s="53"/>
      <c r="G56" s="53"/>
      <c r="H56" s="53"/>
      <c r="I56" s="53"/>
      <c r="J56" s="53"/>
      <c r="K56" s="53"/>
      <c r="L56" s="53"/>
      <c r="M56" s="53"/>
      <c r="N56" s="53"/>
      <c r="O56" s="53"/>
      <c r="P56" s="53"/>
      <c r="Q56" s="53"/>
      <c r="R56" s="53"/>
      <c r="S56" s="53"/>
      <c r="T56" s="53"/>
      <c r="U56" s="53"/>
      <c r="V56" s="53"/>
      <c r="W56" s="53"/>
      <c r="X56" s="53"/>
      <c r="Y56" s="53"/>
      <c r="Z56" s="53"/>
      <c r="AA56" s="53"/>
      <c r="AB56" s="53"/>
    </row>
    <row r="57" spans="4:28" ht="13.5" customHeight="1" x14ac:dyDescent="0.2">
      <c r="D57" s="53"/>
      <c r="E57" s="53"/>
      <c r="F57" s="53"/>
      <c r="G57" s="53"/>
      <c r="H57" s="53"/>
      <c r="I57" s="53"/>
      <c r="J57" s="53"/>
      <c r="K57" s="53"/>
      <c r="L57" s="53"/>
      <c r="M57" s="53"/>
      <c r="N57" s="53"/>
      <c r="O57" s="53"/>
      <c r="P57" s="53"/>
      <c r="Q57" s="53"/>
      <c r="R57" s="53"/>
      <c r="S57" s="53"/>
      <c r="T57" s="53"/>
      <c r="U57" s="53"/>
      <c r="V57" s="53"/>
      <c r="W57" s="53"/>
      <c r="X57" s="53"/>
      <c r="Y57" s="53"/>
      <c r="Z57" s="53"/>
      <c r="AA57" s="53"/>
      <c r="AB57" s="53"/>
    </row>
    <row r="58" spans="4:28" ht="13.5" customHeight="1" x14ac:dyDescent="0.2">
      <c r="D58" s="53"/>
      <c r="E58" s="53"/>
      <c r="F58" s="53"/>
      <c r="G58" s="53"/>
      <c r="H58" s="53"/>
      <c r="I58" s="53"/>
      <c r="J58" s="53"/>
      <c r="K58" s="53"/>
      <c r="L58" s="53"/>
      <c r="M58" s="53"/>
      <c r="N58" s="53"/>
      <c r="O58" s="53"/>
      <c r="P58" s="53"/>
      <c r="Q58" s="53"/>
      <c r="R58" s="53"/>
      <c r="S58" s="53"/>
      <c r="T58" s="53"/>
      <c r="U58" s="53"/>
      <c r="V58" s="53"/>
      <c r="W58" s="53"/>
      <c r="X58" s="53"/>
      <c r="Y58" s="53"/>
      <c r="Z58" s="53"/>
      <c r="AA58" s="53"/>
      <c r="AB58" s="53"/>
    </row>
    <row r="59" spans="4:28" ht="13.5" customHeight="1" x14ac:dyDescent="0.2">
      <c r="D59" s="53"/>
      <c r="E59" s="53"/>
      <c r="F59" s="53"/>
      <c r="G59" s="53"/>
      <c r="H59" s="53"/>
      <c r="I59" s="53"/>
      <c r="J59" s="53"/>
      <c r="K59" s="53"/>
      <c r="L59" s="53"/>
      <c r="M59" s="53"/>
      <c r="N59" s="53"/>
      <c r="O59" s="53"/>
      <c r="P59" s="53"/>
      <c r="Q59" s="53"/>
      <c r="R59" s="53"/>
      <c r="S59" s="53"/>
      <c r="T59" s="53"/>
      <c r="U59" s="53"/>
      <c r="V59" s="53"/>
      <c r="W59" s="53"/>
      <c r="X59" s="53"/>
      <c r="Y59" s="53"/>
      <c r="Z59" s="53"/>
      <c r="AA59" s="53"/>
      <c r="AB59" s="53"/>
    </row>
    <row r="60" spans="4:28" ht="13.5" customHeight="1" x14ac:dyDescent="0.2">
      <c r="D60" s="53"/>
      <c r="E60" s="53"/>
      <c r="F60" s="53"/>
      <c r="G60" s="53"/>
      <c r="H60" s="53"/>
      <c r="I60" s="53"/>
      <c r="J60" s="53"/>
      <c r="K60" s="53"/>
      <c r="L60" s="53"/>
      <c r="M60" s="53"/>
      <c r="N60" s="53"/>
      <c r="O60" s="53"/>
      <c r="P60" s="53"/>
      <c r="Q60" s="53"/>
      <c r="R60" s="53"/>
      <c r="S60" s="53"/>
      <c r="T60" s="53"/>
      <c r="U60" s="53"/>
      <c r="V60" s="53"/>
      <c r="W60" s="53"/>
      <c r="X60" s="53"/>
      <c r="Y60" s="53"/>
      <c r="Z60" s="53"/>
      <c r="AA60" s="53"/>
      <c r="AB60" s="53"/>
    </row>
    <row r="61" spans="4:28" ht="13.5" customHeight="1" x14ac:dyDescent="0.2">
      <c r="D61" s="53"/>
      <c r="E61" s="53"/>
      <c r="F61" s="53"/>
      <c r="G61" s="53"/>
      <c r="H61" s="53"/>
      <c r="I61" s="53"/>
      <c r="J61" s="53"/>
      <c r="K61" s="53"/>
      <c r="L61" s="53"/>
      <c r="M61" s="53"/>
      <c r="N61" s="53"/>
      <c r="O61" s="53"/>
      <c r="P61" s="53"/>
      <c r="Q61" s="53"/>
      <c r="R61" s="53"/>
      <c r="S61" s="53"/>
      <c r="T61" s="53"/>
      <c r="U61" s="53"/>
      <c r="V61" s="53"/>
      <c r="W61" s="53"/>
      <c r="X61" s="53"/>
      <c r="Y61" s="53"/>
      <c r="Z61" s="53"/>
      <c r="AA61" s="53"/>
      <c r="AB61" s="53"/>
    </row>
    <row r="62" spans="4:28" ht="13.5" customHeight="1" x14ac:dyDescent="0.2">
      <c r="D62" s="53"/>
      <c r="E62" s="53"/>
      <c r="F62" s="53"/>
      <c r="G62" s="53"/>
      <c r="H62" s="53"/>
      <c r="I62" s="53"/>
      <c r="J62" s="53"/>
      <c r="K62" s="53"/>
      <c r="L62" s="53"/>
      <c r="M62" s="53"/>
      <c r="N62" s="53"/>
      <c r="O62" s="53"/>
      <c r="P62" s="53"/>
      <c r="Q62" s="53"/>
      <c r="R62" s="53"/>
      <c r="S62" s="53"/>
      <c r="T62" s="53"/>
      <c r="U62" s="53"/>
      <c r="V62" s="53"/>
      <c r="W62" s="53"/>
      <c r="X62" s="53"/>
      <c r="Y62" s="53"/>
      <c r="Z62" s="53"/>
      <c r="AA62" s="53"/>
      <c r="AB62" s="53"/>
    </row>
    <row r="63" spans="4:28" ht="13.5" customHeight="1" x14ac:dyDescent="0.2">
      <c r="D63" s="53"/>
      <c r="E63" s="53"/>
      <c r="F63" s="53"/>
      <c r="G63" s="53"/>
      <c r="H63" s="53"/>
      <c r="I63" s="53"/>
      <c r="J63" s="53"/>
      <c r="K63" s="53"/>
      <c r="L63" s="53"/>
      <c r="M63" s="53"/>
      <c r="N63" s="53"/>
      <c r="O63" s="53"/>
      <c r="P63" s="53"/>
      <c r="Q63" s="53"/>
      <c r="R63" s="53"/>
      <c r="S63" s="53"/>
      <c r="T63" s="53"/>
      <c r="U63" s="53"/>
      <c r="V63" s="53"/>
      <c r="W63" s="53"/>
      <c r="X63" s="53"/>
      <c r="Y63" s="53"/>
      <c r="Z63" s="53"/>
      <c r="AA63" s="53"/>
      <c r="AB63" s="53"/>
    </row>
    <row r="64" spans="4:28" ht="13.5" customHeight="1" x14ac:dyDescent="0.2">
      <c r="D64" s="53"/>
      <c r="E64" s="53"/>
      <c r="F64" s="53"/>
      <c r="G64" s="53"/>
      <c r="H64" s="53"/>
      <c r="I64" s="53"/>
      <c r="J64" s="53"/>
      <c r="K64" s="53"/>
      <c r="L64" s="53"/>
      <c r="M64" s="53"/>
      <c r="N64" s="53"/>
      <c r="O64" s="53"/>
      <c r="P64" s="53"/>
      <c r="Q64" s="53"/>
      <c r="R64" s="53"/>
      <c r="S64" s="53"/>
      <c r="T64" s="53"/>
      <c r="U64" s="53"/>
      <c r="V64" s="53"/>
      <c r="W64" s="53"/>
      <c r="X64" s="53"/>
      <c r="Y64" s="53"/>
      <c r="Z64" s="53"/>
      <c r="AA64" s="53"/>
      <c r="AB64" s="53"/>
    </row>
    <row r="65" spans="4:28" ht="13.5" customHeight="1" x14ac:dyDescent="0.2">
      <c r="D65" s="53"/>
      <c r="E65" s="53"/>
      <c r="F65" s="53"/>
      <c r="G65" s="53"/>
      <c r="H65" s="53"/>
      <c r="I65" s="53"/>
      <c r="J65" s="53"/>
      <c r="K65" s="53"/>
      <c r="L65" s="53"/>
      <c r="M65" s="53"/>
      <c r="N65" s="53"/>
      <c r="O65" s="53"/>
      <c r="P65" s="53"/>
      <c r="Q65" s="53"/>
      <c r="R65" s="53"/>
      <c r="S65" s="53"/>
      <c r="T65" s="53"/>
      <c r="U65" s="53"/>
      <c r="V65" s="53"/>
      <c r="W65" s="53"/>
      <c r="X65" s="53"/>
      <c r="Y65" s="53"/>
      <c r="Z65" s="53"/>
      <c r="AA65" s="53"/>
      <c r="AB65" s="53"/>
    </row>
    <row r="66" spans="4:28" ht="13.5" customHeight="1" x14ac:dyDescent="0.2">
      <c r="D66" s="53"/>
      <c r="E66" s="53"/>
      <c r="F66" s="53"/>
      <c r="G66" s="53"/>
      <c r="H66" s="53"/>
      <c r="I66" s="53"/>
      <c r="J66" s="53"/>
      <c r="K66" s="53"/>
      <c r="L66" s="53"/>
      <c r="M66" s="53"/>
      <c r="N66" s="53"/>
      <c r="O66" s="53"/>
      <c r="P66" s="53"/>
      <c r="Q66" s="53"/>
      <c r="R66" s="53"/>
      <c r="S66" s="53"/>
      <c r="T66" s="53"/>
      <c r="U66" s="53"/>
      <c r="V66" s="53"/>
      <c r="W66" s="53"/>
      <c r="X66" s="53"/>
      <c r="Y66" s="53"/>
      <c r="Z66" s="53"/>
      <c r="AA66" s="53"/>
      <c r="AB66" s="53"/>
    </row>
    <row r="67" spans="4:28" ht="13.5" customHeight="1" x14ac:dyDescent="0.2">
      <c r="D67" s="53"/>
      <c r="E67" s="53"/>
      <c r="F67" s="53"/>
      <c r="G67" s="53"/>
      <c r="H67" s="53"/>
      <c r="I67" s="53"/>
      <c r="J67" s="53"/>
      <c r="K67" s="53"/>
      <c r="L67" s="53"/>
      <c r="M67" s="53"/>
      <c r="N67" s="53"/>
      <c r="O67" s="53"/>
      <c r="P67" s="53"/>
      <c r="Q67" s="53"/>
      <c r="R67" s="53"/>
      <c r="S67" s="53"/>
      <c r="T67" s="53"/>
      <c r="U67" s="53"/>
      <c r="V67" s="53"/>
      <c r="W67" s="53"/>
      <c r="X67" s="53"/>
      <c r="Y67" s="53"/>
      <c r="Z67" s="53"/>
      <c r="AA67" s="53"/>
      <c r="AB67" s="53"/>
    </row>
    <row r="68" spans="4:28" ht="13.5" customHeight="1" x14ac:dyDescent="0.2">
      <c r="D68" s="53"/>
      <c r="E68" s="53"/>
      <c r="F68" s="53"/>
      <c r="G68" s="53"/>
      <c r="H68" s="53"/>
      <c r="I68" s="53"/>
      <c r="J68" s="53"/>
      <c r="K68" s="53"/>
      <c r="L68" s="53"/>
      <c r="M68" s="53"/>
      <c r="N68" s="53"/>
      <c r="O68" s="53"/>
      <c r="P68" s="53"/>
      <c r="Q68" s="53"/>
      <c r="R68" s="53"/>
      <c r="S68" s="53"/>
      <c r="T68" s="53"/>
      <c r="U68" s="53"/>
      <c r="V68" s="53"/>
      <c r="W68" s="53"/>
      <c r="X68" s="53"/>
      <c r="Y68" s="53"/>
      <c r="Z68" s="53"/>
      <c r="AA68" s="53"/>
      <c r="AB68" s="53"/>
    </row>
    <row r="69" spans="4:28" ht="13.5" customHeight="1" x14ac:dyDescent="0.2">
      <c r="D69" s="53"/>
      <c r="E69" s="53"/>
      <c r="F69" s="53"/>
      <c r="G69" s="53"/>
      <c r="H69" s="53"/>
      <c r="I69" s="53"/>
      <c r="J69" s="53"/>
      <c r="K69" s="53"/>
      <c r="L69" s="53"/>
      <c r="M69" s="53"/>
      <c r="N69" s="53"/>
      <c r="O69" s="53"/>
      <c r="P69" s="53"/>
      <c r="Q69" s="53"/>
      <c r="R69" s="53"/>
      <c r="S69" s="53"/>
      <c r="T69" s="53"/>
      <c r="U69" s="53"/>
      <c r="V69" s="53"/>
      <c r="W69" s="53"/>
      <c r="X69" s="53"/>
      <c r="Y69" s="53"/>
      <c r="Z69" s="53"/>
      <c r="AA69" s="53"/>
      <c r="AB69" s="53"/>
    </row>
    <row r="70" spans="4:28" ht="13.5" customHeight="1" x14ac:dyDescent="0.2">
      <c r="D70" s="53"/>
      <c r="E70" s="53"/>
      <c r="F70" s="53"/>
      <c r="G70" s="53"/>
      <c r="H70" s="53"/>
      <c r="I70" s="53"/>
      <c r="J70" s="53"/>
      <c r="K70" s="53"/>
      <c r="L70" s="53"/>
      <c r="M70" s="53"/>
      <c r="N70" s="53"/>
      <c r="O70" s="53"/>
      <c r="P70" s="53"/>
      <c r="Q70" s="53"/>
      <c r="R70" s="53"/>
      <c r="S70" s="53"/>
      <c r="T70" s="53"/>
      <c r="U70" s="53"/>
      <c r="V70" s="53"/>
      <c r="W70" s="53"/>
      <c r="X70" s="53"/>
      <c r="Y70" s="53"/>
      <c r="Z70" s="53"/>
      <c r="AA70" s="53"/>
      <c r="AB70" s="53"/>
    </row>
    <row r="71" spans="4:28" ht="13.5" customHeight="1" x14ac:dyDescent="0.2">
      <c r="D71" s="53"/>
      <c r="E71" s="53"/>
      <c r="F71" s="53"/>
      <c r="G71" s="53"/>
      <c r="H71" s="53"/>
      <c r="I71" s="53"/>
      <c r="J71" s="53"/>
      <c r="K71" s="53"/>
      <c r="L71" s="53"/>
      <c r="M71" s="53"/>
      <c r="N71" s="53"/>
      <c r="O71" s="53"/>
      <c r="P71" s="53"/>
      <c r="Q71" s="53"/>
      <c r="R71" s="53"/>
      <c r="S71" s="53"/>
      <c r="T71" s="53"/>
      <c r="U71" s="53"/>
      <c r="V71" s="53"/>
      <c r="W71" s="53"/>
      <c r="X71" s="53"/>
      <c r="Y71" s="53"/>
      <c r="Z71" s="53"/>
      <c r="AA71" s="53"/>
      <c r="AB71" s="53"/>
    </row>
    <row r="72" spans="4:28" ht="13.5" customHeight="1" x14ac:dyDescent="0.2">
      <c r="D72" s="53"/>
      <c r="E72" s="53"/>
      <c r="F72" s="53"/>
      <c r="G72" s="53"/>
      <c r="H72" s="53"/>
      <c r="I72" s="53"/>
      <c r="J72" s="53"/>
      <c r="K72" s="53"/>
      <c r="L72" s="53"/>
      <c r="M72" s="53"/>
      <c r="N72" s="53"/>
      <c r="O72" s="53"/>
      <c r="P72" s="53"/>
      <c r="Q72" s="53"/>
      <c r="R72" s="53"/>
      <c r="S72" s="53"/>
      <c r="T72" s="53"/>
      <c r="U72" s="53"/>
      <c r="V72" s="53"/>
      <c r="W72" s="53"/>
      <c r="X72" s="53"/>
      <c r="Y72" s="53"/>
      <c r="Z72" s="53"/>
      <c r="AA72" s="53"/>
      <c r="AB72" s="53"/>
    </row>
    <row r="73" spans="4:28" ht="13.5" customHeight="1" x14ac:dyDescent="0.2">
      <c r="D73" s="53"/>
      <c r="E73" s="53"/>
      <c r="F73" s="53"/>
      <c r="G73" s="53"/>
      <c r="H73" s="53"/>
      <c r="I73" s="53"/>
      <c r="J73" s="53"/>
      <c r="K73" s="53"/>
      <c r="L73" s="53"/>
      <c r="M73" s="53"/>
      <c r="N73" s="53"/>
      <c r="O73" s="53"/>
      <c r="P73" s="53"/>
      <c r="Q73" s="53"/>
      <c r="R73" s="53"/>
      <c r="S73" s="53"/>
      <c r="T73" s="53"/>
      <c r="U73" s="53"/>
      <c r="V73" s="53"/>
      <c r="W73" s="53"/>
      <c r="X73" s="53"/>
      <c r="Y73" s="53"/>
      <c r="Z73" s="53"/>
      <c r="AA73" s="53"/>
      <c r="AB73" s="53"/>
    </row>
    <row r="74" spans="4:28" ht="13.5" customHeight="1" x14ac:dyDescent="0.2">
      <c r="D74" s="53"/>
      <c r="E74" s="53"/>
      <c r="F74" s="53"/>
      <c r="G74" s="53"/>
      <c r="H74" s="53"/>
      <c r="I74" s="53"/>
      <c r="J74" s="53"/>
      <c r="K74" s="53"/>
      <c r="L74" s="53"/>
      <c r="M74" s="53"/>
      <c r="N74" s="53"/>
      <c r="O74" s="53"/>
      <c r="P74" s="53"/>
      <c r="Q74" s="53"/>
      <c r="R74" s="53"/>
      <c r="S74" s="53"/>
      <c r="T74" s="53"/>
      <c r="U74" s="53"/>
      <c r="V74" s="53"/>
      <c r="W74" s="53"/>
      <c r="X74" s="53"/>
      <c r="Y74" s="53"/>
      <c r="Z74" s="53"/>
      <c r="AA74" s="53"/>
      <c r="AB74" s="53"/>
    </row>
    <row r="75" spans="4:28" ht="13.5" customHeight="1" x14ac:dyDescent="0.2">
      <c r="D75" s="53"/>
      <c r="E75" s="53"/>
      <c r="F75" s="53"/>
      <c r="G75" s="53"/>
      <c r="H75" s="53"/>
      <c r="I75" s="53"/>
      <c r="J75" s="53"/>
      <c r="K75" s="53"/>
      <c r="L75" s="53"/>
      <c r="M75" s="53"/>
      <c r="N75" s="53"/>
      <c r="O75" s="53"/>
      <c r="P75" s="53"/>
      <c r="Q75" s="53"/>
      <c r="R75" s="53"/>
      <c r="S75" s="53"/>
      <c r="T75" s="53"/>
      <c r="U75" s="53"/>
      <c r="V75" s="53"/>
      <c r="W75" s="53"/>
      <c r="X75" s="53"/>
      <c r="Y75" s="53"/>
      <c r="Z75" s="53"/>
      <c r="AA75" s="53"/>
      <c r="AB75" s="53"/>
    </row>
    <row r="76" spans="4:28" ht="13.5" customHeight="1" x14ac:dyDescent="0.2">
      <c r="D76" s="53"/>
      <c r="E76" s="53"/>
      <c r="F76" s="53"/>
      <c r="G76" s="53"/>
      <c r="H76" s="53"/>
      <c r="I76" s="53"/>
      <c r="J76" s="53"/>
      <c r="K76" s="53"/>
      <c r="L76" s="53"/>
      <c r="M76" s="53"/>
      <c r="N76" s="53"/>
      <c r="O76" s="53"/>
      <c r="P76" s="53"/>
      <c r="Q76" s="53"/>
      <c r="R76" s="53"/>
      <c r="S76" s="53"/>
      <c r="T76" s="53"/>
      <c r="U76" s="53"/>
      <c r="V76" s="53"/>
      <c r="W76" s="53"/>
      <c r="X76" s="53"/>
      <c r="Y76" s="53"/>
      <c r="Z76" s="53"/>
      <c r="AA76" s="53"/>
      <c r="AB76" s="53"/>
    </row>
    <row r="77" spans="4:28" ht="13.5" customHeight="1" x14ac:dyDescent="0.2">
      <c r="D77" s="53"/>
      <c r="E77" s="53"/>
      <c r="F77" s="53"/>
      <c r="G77" s="53"/>
      <c r="H77" s="53"/>
      <c r="I77" s="53"/>
      <c r="J77" s="53"/>
      <c r="K77" s="53"/>
      <c r="L77" s="53"/>
      <c r="M77" s="53"/>
      <c r="N77" s="53"/>
      <c r="O77" s="53"/>
      <c r="P77" s="53"/>
      <c r="Q77" s="53"/>
      <c r="R77" s="53"/>
      <c r="S77" s="53"/>
      <c r="T77" s="53"/>
      <c r="U77" s="53"/>
      <c r="V77" s="53"/>
      <c r="W77" s="53"/>
      <c r="X77" s="53"/>
      <c r="Y77" s="53"/>
      <c r="Z77" s="53"/>
      <c r="AA77" s="53"/>
      <c r="AB77" s="53"/>
    </row>
    <row r="78" spans="4:28" ht="13.5" customHeight="1" x14ac:dyDescent="0.2">
      <c r="D78" s="53"/>
      <c r="E78" s="53"/>
      <c r="F78" s="53"/>
      <c r="G78" s="53"/>
      <c r="H78" s="53"/>
      <c r="I78" s="53"/>
      <c r="J78" s="53"/>
      <c r="K78" s="53"/>
      <c r="L78" s="53"/>
      <c r="M78" s="53"/>
      <c r="N78" s="53"/>
      <c r="O78" s="53"/>
      <c r="P78" s="53"/>
      <c r="Q78" s="53"/>
      <c r="R78" s="53"/>
      <c r="S78" s="53"/>
      <c r="T78" s="53"/>
      <c r="U78" s="53"/>
      <c r="V78" s="53"/>
      <c r="W78" s="53"/>
      <c r="X78" s="53"/>
      <c r="Y78" s="53"/>
      <c r="Z78" s="53"/>
      <c r="AA78" s="53"/>
      <c r="AB78" s="53"/>
    </row>
    <row r="79" spans="4:28" ht="13.5" customHeight="1" x14ac:dyDescent="0.2">
      <c r="D79" s="53"/>
      <c r="E79" s="53"/>
      <c r="F79" s="53"/>
      <c r="G79" s="53"/>
      <c r="H79" s="53"/>
      <c r="I79" s="53"/>
      <c r="J79" s="53"/>
      <c r="K79" s="53"/>
      <c r="L79" s="53"/>
      <c r="M79" s="53"/>
      <c r="N79" s="53"/>
      <c r="O79" s="53"/>
      <c r="P79" s="53"/>
      <c r="Q79" s="53"/>
      <c r="R79" s="53"/>
      <c r="S79" s="53"/>
      <c r="T79" s="53"/>
      <c r="U79" s="53"/>
      <c r="V79" s="53"/>
      <c r="W79" s="53"/>
      <c r="X79" s="53"/>
      <c r="Y79" s="53"/>
      <c r="Z79" s="53"/>
      <c r="AA79" s="53"/>
      <c r="AB79" s="53"/>
    </row>
    <row r="80" spans="4:28" ht="13.5" customHeight="1" x14ac:dyDescent="0.2">
      <c r="D80" s="53"/>
      <c r="E80" s="53"/>
      <c r="F80" s="53"/>
      <c r="G80" s="53"/>
      <c r="H80" s="53"/>
      <c r="I80" s="53"/>
      <c r="J80" s="53"/>
      <c r="K80" s="53"/>
      <c r="L80" s="53"/>
      <c r="M80" s="53"/>
      <c r="N80" s="53"/>
      <c r="O80" s="53"/>
      <c r="P80" s="53"/>
      <c r="Q80" s="53"/>
      <c r="R80" s="53"/>
      <c r="S80" s="53"/>
      <c r="T80" s="53"/>
      <c r="U80" s="53"/>
      <c r="V80" s="53"/>
      <c r="W80" s="53"/>
      <c r="X80" s="53"/>
      <c r="Y80" s="53"/>
      <c r="Z80" s="53"/>
      <c r="AA80" s="53"/>
      <c r="AB80" s="53"/>
    </row>
    <row r="81" spans="4:28" ht="13.5" customHeight="1" x14ac:dyDescent="0.2">
      <c r="D81" s="53"/>
      <c r="E81" s="53"/>
      <c r="F81" s="53"/>
      <c r="G81" s="53"/>
      <c r="H81" s="53"/>
      <c r="I81" s="53"/>
      <c r="J81" s="53"/>
      <c r="K81" s="53"/>
      <c r="L81" s="53"/>
      <c r="M81" s="53"/>
      <c r="N81" s="53"/>
      <c r="O81" s="53"/>
      <c r="P81" s="53"/>
      <c r="Q81" s="53"/>
      <c r="R81" s="53"/>
      <c r="S81" s="53"/>
      <c r="T81" s="53"/>
      <c r="U81" s="53"/>
      <c r="V81" s="53"/>
      <c r="W81" s="53"/>
      <c r="X81" s="53"/>
      <c r="Y81" s="53"/>
      <c r="Z81" s="53"/>
      <c r="AA81" s="53"/>
      <c r="AB81" s="53"/>
    </row>
    <row r="82" spans="4:28" ht="13.5" customHeight="1" x14ac:dyDescent="0.2">
      <c r="D82" s="53"/>
      <c r="E82" s="53"/>
      <c r="F82" s="53"/>
      <c r="G82" s="53"/>
      <c r="H82" s="53"/>
      <c r="I82" s="53"/>
      <c r="J82" s="53"/>
      <c r="K82" s="53"/>
      <c r="L82" s="53"/>
      <c r="M82" s="53"/>
      <c r="N82" s="53"/>
      <c r="O82" s="53"/>
      <c r="P82" s="53"/>
      <c r="Q82" s="53"/>
      <c r="R82" s="53"/>
      <c r="S82" s="53"/>
      <c r="T82" s="53"/>
      <c r="U82" s="53"/>
      <c r="V82" s="53"/>
      <c r="W82" s="53"/>
      <c r="X82" s="53"/>
      <c r="Y82" s="53"/>
      <c r="Z82" s="53"/>
      <c r="AA82" s="53"/>
      <c r="AB82" s="53"/>
    </row>
    <row r="83" spans="4:28" ht="13.5" customHeight="1" x14ac:dyDescent="0.2">
      <c r="D83" s="53"/>
      <c r="E83" s="53"/>
      <c r="F83" s="53"/>
      <c r="G83" s="53"/>
      <c r="H83" s="53"/>
      <c r="I83" s="53"/>
      <c r="J83" s="53"/>
      <c r="K83" s="53"/>
      <c r="L83" s="53"/>
      <c r="M83" s="53"/>
      <c r="N83" s="53"/>
      <c r="O83" s="53"/>
      <c r="P83" s="53"/>
      <c r="Q83" s="53"/>
      <c r="R83" s="53"/>
      <c r="S83" s="53"/>
      <c r="T83" s="53"/>
      <c r="U83" s="53"/>
      <c r="V83" s="53"/>
      <c r="W83" s="53"/>
      <c r="X83" s="53"/>
      <c r="Y83" s="53"/>
      <c r="Z83" s="53"/>
      <c r="AA83" s="53"/>
      <c r="AB83" s="53"/>
    </row>
    <row r="84" spans="4:28" ht="13.5" customHeight="1" x14ac:dyDescent="0.2">
      <c r="D84" s="53"/>
      <c r="E84" s="53"/>
      <c r="F84" s="53"/>
      <c r="G84" s="53"/>
      <c r="H84" s="53"/>
      <c r="I84" s="53"/>
      <c r="J84" s="53"/>
      <c r="K84" s="53"/>
      <c r="L84" s="53"/>
      <c r="M84" s="53"/>
      <c r="N84" s="53"/>
      <c r="O84" s="53"/>
      <c r="P84" s="53"/>
      <c r="Q84" s="53"/>
      <c r="R84" s="53"/>
      <c r="S84" s="53"/>
      <c r="T84" s="53"/>
      <c r="U84" s="53"/>
      <c r="V84" s="53"/>
      <c r="W84" s="53"/>
      <c r="X84" s="53"/>
      <c r="Y84" s="53"/>
      <c r="Z84" s="53"/>
      <c r="AA84" s="53"/>
      <c r="AB84" s="53"/>
    </row>
    <row r="85" spans="4:28" ht="13.5" customHeight="1" x14ac:dyDescent="0.2">
      <c r="D85" s="53"/>
      <c r="E85" s="53"/>
      <c r="F85" s="53"/>
      <c r="G85" s="53"/>
      <c r="H85" s="53"/>
      <c r="I85" s="53"/>
      <c r="J85" s="53"/>
      <c r="K85" s="53"/>
      <c r="L85" s="53"/>
      <c r="M85" s="53"/>
      <c r="N85" s="53"/>
      <c r="O85" s="53"/>
      <c r="P85" s="53"/>
      <c r="Q85" s="53"/>
      <c r="R85" s="53"/>
      <c r="S85" s="53"/>
      <c r="T85" s="53"/>
      <c r="U85" s="53"/>
      <c r="V85" s="53"/>
      <c r="W85" s="53"/>
      <c r="X85" s="53"/>
      <c r="Y85" s="53"/>
      <c r="Z85" s="53"/>
      <c r="AA85" s="53"/>
      <c r="AB85" s="53"/>
    </row>
    <row r="86" spans="4:28" ht="13.5" customHeight="1" x14ac:dyDescent="0.2">
      <c r="D86" s="53"/>
      <c r="E86" s="53"/>
      <c r="F86" s="53"/>
      <c r="G86" s="53"/>
      <c r="H86" s="53"/>
      <c r="I86" s="53"/>
      <c r="J86" s="53"/>
      <c r="K86" s="53"/>
      <c r="L86" s="53"/>
      <c r="M86" s="53"/>
      <c r="N86" s="53"/>
      <c r="O86" s="53"/>
      <c r="P86" s="53"/>
      <c r="Q86" s="53"/>
      <c r="R86" s="53"/>
      <c r="S86" s="53"/>
      <c r="T86" s="53"/>
      <c r="U86" s="53"/>
      <c r="V86" s="53"/>
      <c r="W86" s="53"/>
      <c r="X86" s="53"/>
      <c r="Y86" s="53"/>
      <c r="Z86" s="53"/>
      <c r="AA86" s="53"/>
      <c r="AB86" s="53"/>
    </row>
    <row r="87" spans="4:28" ht="13.5" customHeight="1" x14ac:dyDescent="0.2">
      <c r="D87" s="53"/>
      <c r="E87" s="53"/>
      <c r="F87" s="53"/>
      <c r="G87" s="53"/>
      <c r="H87" s="53"/>
      <c r="I87" s="53"/>
      <c r="J87" s="53"/>
      <c r="K87" s="53"/>
      <c r="L87" s="53"/>
      <c r="M87" s="53"/>
      <c r="N87" s="53"/>
      <c r="O87" s="53"/>
      <c r="P87" s="53"/>
      <c r="Q87" s="53"/>
      <c r="R87" s="53"/>
      <c r="S87" s="53"/>
      <c r="T87" s="53"/>
      <c r="U87" s="53"/>
      <c r="V87" s="53"/>
      <c r="W87" s="53"/>
      <c r="X87" s="53"/>
      <c r="Y87" s="53"/>
      <c r="Z87" s="53"/>
      <c r="AA87" s="53"/>
      <c r="AB87" s="53"/>
    </row>
    <row r="88" spans="4:28" ht="13.5" customHeight="1" x14ac:dyDescent="0.2">
      <c r="D88" s="53"/>
      <c r="E88" s="53"/>
      <c r="F88" s="53"/>
      <c r="G88" s="53"/>
      <c r="H88" s="53"/>
      <c r="I88" s="53"/>
      <c r="J88" s="53"/>
      <c r="K88" s="53"/>
      <c r="L88" s="53"/>
      <c r="M88" s="53"/>
      <c r="N88" s="53"/>
      <c r="O88" s="53"/>
      <c r="P88" s="53"/>
      <c r="Q88" s="53"/>
      <c r="R88" s="53"/>
      <c r="S88" s="53"/>
      <c r="T88" s="53"/>
      <c r="U88" s="53"/>
      <c r="V88" s="53"/>
      <c r="W88" s="53"/>
      <c r="X88" s="53"/>
      <c r="Y88" s="53"/>
      <c r="Z88" s="53"/>
      <c r="AA88" s="53"/>
      <c r="AB88" s="53"/>
    </row>
    <row r="89" spans="4:28" ht="13.5" customHeight="1" x14ac:dyDescent="0.2">
      <c r="D89" s="53"/>
      <c r="E89" s="53"/>
      <c r="F89" s="53"/>
      <c r="G89" s="53"/>
      <c r="H89" s="53"/>
      <c r="I89" s="53"/>
      <c r="J89" s="53"/>
      <c r="K89" s="53"/>
      <c r="L89" s="53"/>
      <c r="M89" s="53"/>
      <c r="N89" s="53"/>
      <c r="O89" s="53"/>
      <c r="P89" s="53"/>
      <c r="Q89" s="53"/>
      <c r="R89" s="53"/>
      <c r="S89" s="53"/>
      <c r="T89" s="53"/>
      <c r="U89" s="53"/>
      <c r="V89" s="53"/>
      <c r="W89" s="53"/>
      <c r="X89" s="53"/>
      <c r="Y89" s="53"/>
      <c r="Z89" s="53"/>
      <c r="AA89" s="53"/>
      <c r="AB89" s="53"/>
    </row>
    <row r="90" spans="4:28" ht="13.5" customHeight="1" x14ac:dyDescent="0.2">
      <c r="D90" s="53"/>
      <c r="E90" s="53"/>
      <c r="F90" s="53"/>
      <c r="G90" s="53"/>
      <c r="H90" s="53"/>
      <c r="I90" s="53"/>
      <c r="J90" s="53"/>
      <c r="K90" s="53"/>
      <c r="L90" s="53"/>
      <c r="M90" s="53"/>
      <c r="N90" s="53"/>
      <c r="O90" s="53"/>
      <c r="P90" s="53"/>
      <c r="Q90" s="53"/>
      <c r="R90" s="53"/>
      <c r="S90" s="53"/>
      <c r="T90" s="53"/>
      <c r="U90" s="53"/>
      <c r="V90" s="53"/>
      <c r="W90" s="53"/>
      <c r="X90" s="53"/>
      <c r="Y90" s="53"/>
      <c r="Z90" s="53"/>
      <c r="AA90" s="53"/>
      <c r="AB90" s="53"/>
    </row>
    <row r="91" spans="4:28" ht="13.5" customHeight="1" x14ac:dyDescent="0.2">
      <c r="D91" s="53"/>
      <c r="E91" s="53"/>
      <c r="F91" s="53"/>
      <c r="G91" s="53"/>
      <c r="H91" s="53"/>
      <c r="I91" s="53"/>
      <c r="J91" s="53"/>
      <c r="K91" s="53"/>
      <c r="L91" s="53"/>
      <c r="M91" s="53"/>
      <c r="N91" s="53"/>
      <c r="O91" s="53"/>
      <c r="P91" s="53"/>
      <c r="Q91" s="53"/>
      <c r="R91" s="53"/>
      <c r="S91" s="53"/>
      <c r="T91" s="53"/>
      <c r="U91" s="53"/>
      <c r="V91" s="53"/>
      <c r="W91" s="53"/>
      <c r="X91" s="53"/>
      <c r="Y91" s="53"/>
      <c r="Z91" s="53"/>
      <c r="AA91" s="53"/>
      <c r="AB91" s="53"/>
    </row>
    <row r="92" spans="4:28" ht="13.5" customHeight="1" x14ac:dyDescent="0.2">
      <c r="D92" s="53"/>
      <c r="E92" s="53"/>
      <c r="F92" s="53"/>
      <c r="G92" s="53"/>
      <c r="H92" s="53"/>
      <c r="I92" s="53"/>
      <c r="J92" s="53"/>
      <c r="K92" s="53"/>
      <c r="L92" s="53"/>
      <c r="M92" s="53"/>
      <c r="N92" s="53"/>
      <c r="O92" s="53"/>
      <c r="P92" s="53"/>
      <c r="Q92" s="53"/>
      <c r="R92" s="53"/>
      <c r="S92" s="53"/>
      <c r="T92" s="53"/>
      <c r="U92" s="53"/>
      <c r="V92" s="53"/>
      <c r="W92" s="53"/>
      <c r="X92" s="53"/>
      <c r="Y92" s="53"/>
      <c r="Z92" s="53"/>
      <c r="AA92" s="53"/>
      <c r="AB92" s="53"/>
    </row>
    <row r="93" spans="4:28" ht="13.5" customHeight="1" x14ac:dyDescent="0.2">
      <c r="D93" s="53"/>
      <c r="E93" s="53"/>
      <c r="F93" s="53"/>
      <c r="G93" s="53"/>
      <c r="H93" s="53"/>
      <c r="I93" s="53"/>
      <c r="J93" s="53"/>
      <c r="K93" s="53"/>
      <c r="L93" s="53"/>
      <c r="M93" s="53"/>
      <c r="N93" s="53"/>
      <c r="O93" s="53"/>
      <c r="P93" s="53"/>
      <c r="Q93" s="53"/>
      <c r="R93" s="53"/>
      <c r="S93" s="53"/>
      <c r="T93" s="53"/>
      <c r="U93" s="53"/>
      <c r="V93" s="53"/>
      <c r="W93" s="53"/>
      <c r="X93" s="53"/>
      <c r="Y93" s="53"/>
      <c r="Z93" s="53"/>
      <c r="AA93" s="53"/>
      <c r="AB93" s="53"/>
    </row>
    <row r="94" spans="4:28" ht="13.5" customHeight="1" x14ac:dyDescent="0.2">
      <c r="D94" s="53"/>
      <c r="E94" s="53"/>
      <c r="F94" s="53"/>
      <c r="G94" s="53"/>
      <c r="H94" s="53"/>
      <c r="I94" s="53"/>
      <c r="J94" s="53"/>
      <c r="K94" s="53"/>
      <c r="L94" s="53"/>
      <c r="M94" s="53"/>
      <c r="N94" s="53"/>
      <c r="O94" s="53"/>
      <c r="P94" s="53"/>
      <c r="Q94" s="53"/>
      <c r="R94" s="53"/>
      <c r="S94" s="53"/>
      <c r="T94" s="53"/>
      <c r="U94" s="53"/>
      <c r="V94" s="53"/>
      <c r="W94" s="53"/>
      <c r="X94" s="53"/>
      <c r="Y94" s="53"/>
      <c r="Z94" s="53"/>
      <c r="AA94" s="53"/>
      <c r="AB94" s="53"/>
    </row>
    <row r="95" spans="4:28" ht="13.5" customHeight="1" x14ac:dyDescent="0.2">
      <c r="D95" s="53"/>
      <c r="E95" s="53"/>
      <c r="F95" s="53"/>
      <c r="G95" s="53"/>
      <c r="H95" s="53"/>
      <c r="I95" s="53"/>
      <c r="J95" s="53"/>
      <c r="K95" s="53"/>
      <c r="L95" s="53"/>
      <c r="M95" s="53"/>
      <c r="N95" s="53"/>
      <c r="O95" s="53"/>
      <c r="P95" s="53"/>
      <c r="Q95" s="53"/>
      <c r="R95" s="53"/>
      <c r="S95" s="53"/>
      <c r="T95" s="53"/>
      <c r="U95" s="53"/>
      <c r="V95" s="53"/>
      <c r="W95" s="53"/>
      <c r="X95" s="53"/>
      <c r="Y95" s="53"/>
      <c r="Z95" s="53"/>
      <c r="AA95" s="53"/>
      <c r="AB95" s="53"/>
    </row>
    <row r="96" spans="4:28" ht="13.5" customHeight="1" x14ac:dyDescent="0.2">
      <c r="D96" s="53"/>
      <c r="E96" s="53"/>
      <c r="F96" s="53"/>
      <c r="G96" s="53"/>
      <c r="H96" s="53"/>
      <c r="I96" s="53"/>
      <c r="J96" s="53"/>
      <c r="K96" s="53"/>
      <c r="L96" s="53"/>
      <c r="M96" s="53"/>
      <c r="N96" s="53"/>
      <c r="O96" s="53"/>
      <c r="P96" s="53"/>
      <c r="Q96" s="53"/>
      <c r="R96" s="53"/>
      <c r="S96" s="53"/>
      <c r="T96" s="53"/>
      <c r="U96" s="53"/>
      <c r="V96" s="53"/>
      <c r="W96" s="53"/>
      <c r="X96" s="53"/>
      <c r="Y96" s="53"/>
      <c r="Z96" s="53"/>
      <c r="AA96" s="53"/>
      <c r="AB96" s="53"/>
    </row>
    <row r="97" spans="4:28" ht="13.5" customHeight="1" x14ac:dyDescent="0.2">
      <c r="D97" s="53"/>
      <c r="E97" s="53"/>
      <c r="F97" s="53"/>
      <c r="G97" s="53"/>
      <c r="H97" s="53"/>
      <c r="I97" s="53"/>
      <c r="J97" s="53"/>
      <c r="K97" s="53"/>
      <c r="L97" s="53"/>
      <c r="M97" s="53"/>
      <c r="N97" s="53"/>
      <c r="O97" s="53"/>
      <c r="P97" s="53"/>
      <c r="Q97" s="53"/>
      <c r="R97" s="53"/>
      <c r="S97" s="53"/>
      <c r="T97" s="53"/>
      <c r="U97" s="53"/>
      <c r="V97" s="53"/>
      <c r="W97" s="53"/>
      <c r="X97" s="53"/>
      <c r="Y97" s="53"/>
      <c r="Z97" s="53"/>
      <c r="AA97" s="53"/>
      <c r="AB97" s="53"/>
    </row>
    <row r="98" spans="4:28" ht="13.5" customHeight="1" x14ac:dyDescent="0.2">
      <c r="D98" s="53"/>
      <c r="E98" s="53"/>
      <c r="F98" s="53"/>
      <c r="G98" s="53"/>
      <c r="H98" s="53"/>
      <c r="I98" s="53"/>
      <c r="J98" s="53"/>
      <c r="K98" s="53"/>
      <c r="L98" s="53"/>
      <c r="M98" s="53"/>
      <c r="N98" s="53"/>
      <c r="O98" s="53"/>
      <c r="P98" s="53"/>
      <c r="Q98" s="53"/>
      <c r="R98" s="53"/>
      <c r="S98" s="53"/>
      <c r="T98" s="53"/>
      <c r="U98" s="53"/>
      <c r="V98" s="53"/>
      <c r="W98" s="53"/>
      <c r="X98" s="53"/>
      <c r="Y98" s="53"/>
      <c r="Z98" s="53"/>
      <c r="AA98" s="53"/>
      <c r="AB98" s="53"/>
    </row>
    <row r="99" spans="4:28" ht="13.5" customHeight="1" x14ac:dyDescent="0.2"/>
    <row r="100" spans="4:28" ht="13.5" customHeight="1" x14ac:dyDescent="0.2"/>
    <row r="101" spans="4:28" ht="13.5" customHeight="1" x14ac:dyDescent="0.2"/>
    <row r="102" spans="4:28" ht="13.5" customHeight="1" x14ac:dyDescent="0.2"/>
    <row r="103" spans="4:28" ht="13.5" customHeight="1" x14ac:dyDescent="0.2"/>
  </sheetData>
  <mergeCells count="4">
    <mergeCell ref="B1:P1"/>
    <mergeCell ref="B11:AD34"/>
    <mergeCell ref="D49:AB49"/>
    <mergeCell ref="D50:AB98"/>
  </mergeCells>
  <printOptions horizontalCentered="1"/>
  <pageMargins left="0.78740157480314965" right="0.78740157480314965" top="0.98425196850393704" bottom="0.98425196850393704" header="0" footer="0.39370078740157483"/>
  <pageSetup scale="72" fitToHeight="10" orientation="landscape" r:id="rId1"/>
  <headerFooter>
    <oddFooter>&amp;R&amp;P de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43"/>
  <sheetViews>
    <sheetView view="pageBreakPreview" topLeftCell="C10" zoomScale="80" zoomScaleNormal="80" zoomScaleSheetLayoutView="80" workbookViewId="0">
      <selection activeCell="R13" sqref="R13:U13"/>
    </sheetView>
  </sheetViews>
  <sheetFormatPr baseColWidth="10" defaultColWidth="10" defaultRowHeight="12.75" x14ac:dyDescent="0.2"/>
  <cols>
    <col min="1" max="1" width="3.5" style="1" customWidth="1"/>
    <col min="2" max="2" width="14.7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9.625" style="1" customWidth="1"/>
    <col min="19" max="19" width="13" style="1" customWidth="1"/>
    <col min="20" max="20" width="10.75" style="1" customWidth="1"/>
    <col min="21" max="21" width="11.37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50" t="s">
        <v>0</v>
      </c>
      <c r="C1" s="50"/>
      <c r="D1" s="50"/>
      <c r="E1" s="50"/>
      <c r="F1" s="50"/>
      <c r="G1" s="50"/>
      <c r="H1" s="50"/>
      <c r="I1" s="50"/>
      <c r="J1" s="50"/>
      <c r="K1" s="50"/>
      <c r="L1" s="50"/>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51.75" customHeight="1" thickTop="1" x14ac:dyDescent="0.2">
      <c r="B4" s="8" t="s">
        <v>6</v>
      </c>
      <c r="C4" s="9" t="s">
        <v>462</v>
      </c>
      <c r="D4" s="57" t="s">
        <v>463</v>
      </c>
      <c r="E4" s="57"/>
      <c r="F4" s="57"/>
      <c r="G4" s="57"/>
      <c r="H4" s="57"/>
      <c r="I4" s="10"/>
      <c r="J4" s="11" t="s">
        <v>9</v>
      </c>
      <c r="K4" s="12" t="s">
        <v>10</v>
      </c>
      <c r="L4" s="58" t="s">
        <v>11</v>
      </c>
      <c r="M4" s="58"/>
      <c r="N4" s="58"/>
      <c r="O4" s="58"/>
      <c r="P4" s="11" t="s">
        <v>12</v>
      </c>
      <c r="Q4" s="58" t="s">
        <v>464</v>
      </c>
      <c r="R4" s="58"/>
      <c r="S4" s="11" t="s">
        <v>14</v>
      </c>
      <c r="T4" s="58" t="s">
        <v>465</v>
      </c>
      <c r="U4" s="59"/>
    </row>
    <row r="5" spans="1:21" ht="15.75" customHeight="1" x14ac:dyDescent="0.2">
      <c r="B5" s="54" t="s">
        <v>15</v>
      </c>
      <c r="C5" s="55"/>
      <c r="D5" s="55"/>
      <c r="E5" s="55"/>
      <c r="F5" s="55"/>
      <c r="G5" s="55"/>
      <c r="H5" s="55"/>
      <c r="I5" s="55"/>
      <c r="J5" s="55"/>
      <c r="K5" s="55"/>
      <c r="L5" s="55"/>
      <c r="M5" s="55"/>
      <c r="N5" s="55"/>
      <c r="O5" s="55"/>
      <c r="P5" s="55"/>
      <c r="Q5" s="55"/>
      <c r="R5" s="55"/>
      <c r="S5" s="55"/>
      <c r="T5" s="55"/>
      <c r="U5" s="56"/>
    </row>
    <row r="6" spans="1:21" ht="37.5" customHeight="1" thickBot="1" x14ac:dyDescent="0.25">
      <c r="B6" s="13" t="s">
        <v>16</v>
      </c>
      <c r="C6" s="60" t="s">
        <v>17</v>
      </c>
      <c r="D6" s="60"/>
      <c r="E6" s="60"/>
      <c r="F6" s="60"/>
      <c r="G6" s="60"/>
      <c r="H6" s="14"/>
      <c r="I6" s="14"/>
      <c r="J6" s="14" t="s">
        <v>18</v>
      </c>
      <c r="K6" s="60" t="s">
        <v>19</v>
      </c>
      <c r="L6" s="60"/>
      <c r="M6" s="60"/>
      <c r="N6" s="15"/>
      <c r="O6" s="16" t="s">
        <v>20</v>
      </c>
      <c r="P6" s="60" t="s">
        <v>466</v>
      </c>
      <c r="Q6" s="60"/>
      <c r="R6" s="17"/>
      <c r="S6" s="16" t="s">
        <v>22</v>
      </c>
      <c r="T6" s="60" t="s">
        <v>467</v>
      </c>
      <c r="U6" s="61"/>
    </row>
    <row r="7" spans="1:21" ht="14.25" customHeight="1" thickTop="1" thickBot="1" x14ac:dyDescent="0.25">
      <c r="B7" s="4" t="s">
        <v>24</v>
      </c>
      <c r="C7" s="5"/>
      <c r="D7" s="5"/>
      <c r="E7" s="5"/>
      <c r="F7" s="5"/>
      <c r="G7" s="5"/>
      <c r="H7" s="6"/>
      <c r="I7" s="6"/>
      <c r="J7" s="6"/>
      <c r="K7" s="6"/>
      <c r="L7" s="6"/>
      <c r="M7" s="6"/>
      <c r="N7" s="6"/>
      <c r="O7" s="6"/>
      <c r="P7" s="6"/>
      <c r="Q7" s="6"/>
      <c r="R7" s="6"/>
      <c r="S7" s="6"/>
      <c r="T7" s="6"/>
      <c r="U7" s="7"/>
    </row>
    <row r="8" spans="1:21" ht="16.5" customHeight="1" thickTop="1" x14ac:dyDescent="0.2">
      <c r="B8" s="62" t="s">
        <v>25</v>
      </c>
      <c r="C8" s="65" t="s">
        <v>26</v>
      </c>
      <c r="D8" s="66"/>
      <c r="E8" s="66"/>
      <c r="F8" s="66"/>
      <c r="G8" s="66"/>
      <c r="H8" s="67"/>
      <c r="I8" s="74" t="s">
        <v>27</v>
      </c>
      <c r="J8" s="75"/>
      <c r="K8" s="75"/>
      <c r="L8" s="75"/>
      <c r="M8" s="75"/>
      <c r="N8" s="75"/>
      <c r="O8" s="75"/>
      <c r="P8" s="75"/>
      <c r="Q8" s="75"/>
      <c r="R8" s="75"/>
      <c r="S8" s="76"/>
      <c r="T8" s="77" t="s">
        <v>28</v>
      </c>
      <c r="U8" s="78"/>
    </row>
    <row r="9" spans="1:21" ht="19.5" customHeight="1" x14ac:dyDescent="0.2">
      <c r="B9" s="63"/>
      <c r="C9" s="68"/>
      <c r="D9" s="69"/>
      <c r="E9" s="69"/>
      <c r="F9" s="69"/>
      <c r="G9" s="69"/>
      <c r="H9" s="70"/>
      <c r="I9" s="79" t="s">
        <v>29</v>
      </c>
      <c r="J9" s="80"/>
      <c r="K9" s="80"/>
      <c r="L9" s="80" t="s">
        <v>30</v>
      </c>
      <c r="M9" s="80"/>
      <c r="N9" s="80"/>
      <c r="O9" s="80"/>
      <c r="P9" s="80" t="s">
        <v>31</v>
      </c>
      <c r="Q9" s="80" t="s">
        <v>32</v>
      </c>
      <c r="R9" s="83" t="s">
        <v>33</v>
      </c>
      <c r="S9" s="84"/>
      <c r="T9" s="80" t="s">
        <v>34</v>
      </c>
      <c r="U9" s="85" t="s">
        <v>35</v>
      </c>
    </row>
    <row r="10" spans="1:21" ht="26.25" customHeight="1" thickBot="1" x14ac:dyDescent="0.25">
      <c r="B10" s="64"/>
      <c r="C10" s="71"/>
      <c r="D10" s="72"/>
      <c r="E10" s="72"/>
      <c r="F10" s="72"/>
      <c r="G10" s="72"/>
      <c r="H10" s="73"/>
      <c r="I10" s="81"/>
      <c r="J10" s="82"/>
      <c r="K10" s="82"/>
      <c r="L10" s="82"/>
      <c r="M10" s="82"/>
      <c r="N10" s="82"/>
      <c r="O10" s="82"/>
      <c r="P10" s="82"/>
      <c r="Q10" s="82"/>
      <c r="R10" s="19" t="s">
        <v>36</v>
      </c>
      <c r="S10" s="20" t="s">
        <v>37</v>
      </c>
      <c r="T10" s="82"/>
      <c r="U10" s="86"/>
    </row>
    <row r="11" spans="1:21" ht="90" customHeight="1" thickTop="1" x14ac:dyDescent="0.2">
      <c r="A11" s="21"/>
      <c r="B11" s="22" t="s">
        <v>38</v>
      </c>
      <c r="C11" s="87" t="s">
        <v>468</v>
      </c>
      <c r="D11" s="87"/>
      <c r="E11" s="87"/>
      <c r="F11" s="87"/>
      <c r="G11" s="87"/>
      <c r="H11" s="87"/>
      <c r="I11" s="87" t="s">
        <v>469</v>
      </c>
      <c r="J11" s="87"/>
      <c r="K11" s="87"/>
      <c r="L11" s="87" t="s">
        <v>470</v>
      </c>
      <c r="M11" s="87"/>
      <c r="N11" s="87"/>
      <c r="O11" s="87"/>
      <c r="P11" s="23" t="s">
        <v>471</v>
      </c>
      <c r="Q11" s="23" t="s">
        <v>43</v>
      </c>
      <c r="R11" s="44">
        <v>3048659</v>
      </c>
      <c r="S11" s="44">
        <v>3048659</v>
      </c>
      <c r="T11" s="44">
        <v>3257865</v>
      </c>
      <c r="U11" s="45">
        <f>106.9</f>
        <v>106.9</v>
      </c>
    </row>
    <row r="12" spans="1:21" ht="99.75" customHeight="1" thickBot="1" x14ac:dyDescent="0.25">
      <c r="A12" s="21"/>
      <c r="B12" s="24" t="s">
        <v>55</v>
      </c>
      <c r="C12" s="88" t="s">
        <v>55</v>
      </c>
      <c r="D12" s="88"/>
      <c r="E12" s="88"/>
      <c r="F12" s="88"/>
      <c r="G12" s="88"/>
      <c r="H12" s="88"/>
      <c r="I12" s="88" t="s">
        <v>472</v>
      </c>
      <c r="J12" s="88"/>
      <c r="K12" s="88"/>
      <c r="L12" s="88" t="s">
        <v>473</v>
      </c>
      <c r="M12" s="88"/>
      <c r="N12" s="88"/>
      <c r="O12" s="88"/>
      <c r="P12" s="25" t="s">
        <v>474</v>
      </c>
      <c r="Q12" s="25" t="s">
        <v>43</v>
      </c>
      <c r="R12" s="43" t="s">
        <v>177</v>
      </c>
      <c r="S12" s="43">
        <v>14</v>
      </c>
      <c r="T12" s="43">
        <v>78.69</v>
      </c>
      <c r="U12" s="46">
        <v>102.9</v>
      </c>
    </row>
    <row r="13" spans="1:21" ht="75" customHeight="1" thickTop="1" x14ac:dyDescent="0.2">
      <c r="A13" s="21"/>
      <c r="B13" s="22" t="s">
        <v>44</v>
      </c>
      <c r="C13" s="87" t="s">
        <v>475</v>
      </c>
      <c r="D13" s="87"/>
      <c r="E13" s="87"/>
      <c r="F13" s="87"/>
      <c r="G13" s="87"/>
      <c r="H13" s="87"/>
      <c r="I13" s="87" t="s">
        <v>476</v>
      </c>
      <c r="J13" s="87"/>
      <c r="K13" s="87"/>
      <c r="L13" s="87" t="s">
        <v>477</v>
      </c>
      <c r="M13" s="87"/>
      <c r="N13" s="87"/>
      <c r="O13" s="87"/>
      <c r="P13" s="23" t="s">
        <v>48</v>
      </c>
      <c r="Q13" s="23" t="s">
        <v>43</v>
      </c>
      <c r="R13" s="23">
        <v>1.81</v>
      </c>
      <c r="S13" s="23">
        <v>1.81</v>
      </c>
      <c r="T13" s="23">
        <v>2.0499999999999998</v>
      </c>
      <c r="U13" s="45">
        <f>113.26</f>
        <v>113.26</v>
      </c>
    </row>
    <row r="14" spans="1:21" ht="75" customHeight="1" x14ac:dyDescent="0.2">
      <c r="A14" s="21"/>
      <c r="B14" s="24" t="s">
        <v>55</v>
      </c>
      <c r="C14" s="88" t="s">
        <v>55</v>
      </c>
      <c r="D14" s="88"/>
      <c r="E14" s="88"/>
      <c r="F14" s="88"/>
      <c r="G14" s="88"/>
      <c r="H14" s="88"/>
      <c r="I14" s="88" t="s">
        <v>478</v>
      </c>
      <c r="J14" s="88"/>
      <c r="K14" s="88"/>
      <c r="L14" s="88" t="s">
        <v>479</v>
      </c>
      <c r="M14" s="88"/>
      <c r="N14" s="88"/>
      <c r="O14" s="88"/>
      <c r="P14" s="25" t="s">
        <v>48</v>
      </c>
      <c r="Q14" s="25" t="s">
        <v>43</v>
      </c>
      <c r="R14" s="25">
        <v>107.29</v>
      </c>
      <c r="S14" s="25">
        <v>164.05</v>
      </c>
      <c r="T14" s="25">
        <v>189.5</v>
      </c>
      <c r="U14" s="46">
        <f>115.5</f>
        <v>115.5</v>
      </c>
    </row>
    <row r="15" spans="1:21" ht="75" customHeight="1" thickBot="1" x14ac:dyDescent="0.25">
      <c r="A15" s="21"/>
      <c r="B15" s="24" t="s">
        <v>55</v>
      </c>
      <c r="C15" s="88" t="s">
        <v>55</v>
      </c>
      <c r="D15" s="88"/>
      <c r="E15" s="88"/>
      <c r="F15" s="88"/>
      <c r="G15" s="88"/>
      <c r="H15" s="88"/>
      <c r="I15" s="88" t="s">
        <v>480</v>
      </c>
      <c r="J15" s="88"/>
      <c r="K15" s="88"/>
      <c r="L15" s="88" t="s">
        <v>481</v>
      </c>
      <c r="M15" s="88"/>
      <c r="N15" s="88"/>
      <c r="O15" s="88"/>
      <c r="P15" s="25" t="s">
        <v>482</v>
      </c>
      <c r="Q15" s="25" t="s">
        <v>43</v>
      </c>
      <c r="R15" s="43">
        <v>1</v>
      </c>
      <c r="S15" s="43">
        <v>1</v>
      </c>
      <c r="T15" s="43">
        <v>1.5</v>
      </c>
      <c r="U15" s="46">
        <f>150</f>
        <v>150</v>
      </c>
    </row>
    <row r="16" spans="1:21" ht="75" customHeight="1" thickTop="1" x14ac:dyDescent="0.2">
      <c r="A16" s="21"/>
      <c r="B16" s="22" t="s">
        <v>50</v>
      </c>
      <c r="C16" s="87" t="s">
        <v>483</v>
      </c>
      <c r="D16" s="87"/>
      <c r="E16" s="87"/>
      <c r="F16" s="87"/>
      <c r="G16" s="87"/>
      <c r="H16" s="87"/>
      <c r="I16" s="87" t="s">
        <v>484</v>
      </c>
      <c r="J16" s="87"/>
      <c r="K16" s="87"/>
      <c r="L16" s="87" t="s">
        <v>485</v>
      </c>
      <c r="M16" s="87"/>
      <c r="N16" s="87"/>
      <c r="O16" s="87"/>
      <c r="P16" s="23" t="s">
        <v>48</v>
      </c>
      <c r="Q16" s="23" t="s">
        <v>49</v>
      </c>
      <c r="R16" s="23">
        <v>31.11</v>
      </c>
      <c r="S16" s="23">
        <v>34</v>
      </c>
      <c r="T16" s="23">
        <v>34.1</v>
      </c>
      <c r="U16" s="45">
        <f>100.3</f>
        <v>100.3</v>
      </c>
    </row>
    <row r="17" spans="1:22" ht="75" customHeight="1" thickBot="1" x14ac:dyDescent="0.25">
      <c r="A17" s="21"/>
      <c r="B17" s="24" t="s">
        <v>55</v>
      </c>
      <c r="C17" s="88" t="s">
        <v>55</v>
      </c>
      <c r="D17" s="88"/>
      <c r="E17" s="88"/>
      <c r="F17" s="88"/>
      <c r="G17" s="88"/>
      <c r="H17" s="88"/>
      <c r="I17" s="88" t="s">
        <v>486</v>
      </c>
      <c r="J17" s="88"/>
      <c r="K17" s="88"/>
      <c r="L17" s="88" t="s">
        <v>487</v>
      </c>
      <c r="M17" s="88"/>
      <c r="N17" s="88"/>
      <c r="O17" s="88"/>
      <c r="P17" s="25" t="s">
        <v>48</v>
      </c>
      <c r="Q17" s="25" t="s">
        <v>488</v>
      </c>
      <c r="R17" s="25">
        <v>90</v>
      </c>
      <c r="S17" s="25">
        <v>90</v>
      </c>
      <c r="T17" s="25">
        <v>90.9</v>
      </c>
      <c r="U17" s="46">
        <f>101</f>
        <v>101</v>
      </c>
    </row>
    <row r="18" spans="1:22" ht="75" customHeight="1" thickTop="1" x14ac:dyDescent="0.2">
      <c r="A18" s="21"/>
      <c r="B18" s="22" t="s">
        <v>61</v>
      </c>
      <c r="C18" s="87" t="s">
        <v>489</v>
      </c>
      <c r="D18" s="87"/>
      <c r="E18" s="87"/>
      <c r="F18" s="87"/>
      <c r="G18" s="87"/>
      <c r="H18" s="87"/>
      <c r="I18" s="87" t="s">
        <v>490</v>
      </c>
      <c r="J18" s="87"/>
      <c r="K18" s="87"/>
      <c r="L18" s="87" t="s">
        <v>491</v>
      </c>
      <c r="M18" s="87"/>
      <c r="N18" s="87"/>
      <c r="O18" s="87"/>
      <c r="P18" s="23" t="s">
        <v>471</v>
      </c>
      <c r="Q18" s="23" t="s">
        <v>492</v>
      </c>
      <c r="R18" s="23">
        <v>30</v>
      </c>
      <c r="S18" s="23">
        <v>30</v>
      </c>
      <c r="T18" s="23">
        <v>64</v>
      </c>
      <c r="U18" s="45">
        <f>213.3</f>
        <v>213.3</v>
      </c>
    </row>
    <row r="19" spans="1:22" ht="75" customHeight="1" x14ac:dyDescent="0.2">
      <c r="A19" s="21"/>
      <c r="B19" s="24" t="s">
        <v>55</v>
      </c>
      <c r="C19" s="88" t="s">
        <v>55</v>
      </c>
      <c r="D19" s="88"/>
      <c r="E19" s="88"/>
      <c r="F19" s="88"/>
      <c r="G19" s="88"/>
      <c r="H19" s="88"/>
      <c r="I19" s="88" t="s">
        <v>493</v>
      </c>
      <c r="J19" s="88"/>
      <c r="K19" s="88"/>
      <c r="L19" s="88" t="s">
        <v>494</v>
      </c>
      <c r="M19" s="88"/>
      <c r="N19" s="88"/>
      <c r="O19" s="88"/>
      <c r="P19" s="25" t="s">
        <v>495</v>
      </c>
      <c r="Q19" s="25" t="s">
        <v>66</v>
      </c>
      <c r="R19" s="25">
        <v>77.42</v>
      </c>
      <c r="S19" s="25">
        <v>76.47</v>
      </c>
      <c r="T19" s="25">
        <v>83.5</v>
      </c>
      <c r="U19" s="46">
        <f>109.2</f>
        <v>109.2</v>
      </c>
    </row>
    <row r="20" spans="1:22" ht="75" customHeight="1" x14ac:dyDescent="0.2">
      <c r="A20" s="21"/>
      <c r="B20" s="24" t="s">
        <v>55</v>
      </c>
      <c r="C20" s="88" t="s">
        <v>55</v>
      </c>
      <c r="D20" s="88"/>
      <c r="E20" s="88"/>
      <c r="F20" s="88"/>
      <c r="G20" s="88"/>
      <c r="H20" s="88"/>
      <c r="I20" s="88" t="s">
        <v>496</v>
      </c>
      <c r="J20" s="88"/>
      <c r="K20" s="88"/>
      <c r="L20" s="88" t="s">
        <v>497</v>
      </c>
      <c r="M20" s="88"/>
      <c r="N20" s="88"/>
      <c r="O20" s="88"/>
      <c r="P20" s="25" t="s">
        <v>498</v>
      </c>
      <c r="Q20" s="25" t="s">
        <v>134</v>
      </c>
      <c r="R20" s="25">
        <v>1.68</v>
      </c>
      <c r="S20" s="25">
        <v>1.68</v>
      </c>
      <c r="T20" s="25">
        <v>1.8</v>
      </c>
      <c r="U20" s="46">
        <f>107.1</f>
        <v>107.1</v>
      </c>
    </row>
    <row r="21" spans="1:22" ht="75" customHeight="1" x14ac:dyDescent="0.2">
      <c r="A21" s="21"/>
      <c r="B21" s="24" t="s">
        <v>55</v>
      </c>
      <c r="C21" s="88" t="s">
        <v>55</v>
      </c>
      <c r="D21" s="88"/>
      <c r="E21" s="88"/>
      <c r="F21" s="88"/>
      <c r="G21" s="88"/>
      <c r="H21" s="88"/>
      <c r="I21" s="88" t="s">
        <v>499</v>
      </c>
      <c r="J21" s="88"/>
      <c r="K21" s="88"/>
      <c r="L21" s="88" t="s">
        <v>500</v>
      </c>
      <c r="M21" s="88"/>
      <c r="N21" s="88"/>
      <c r="O21" s="88"/>
      <c r="P21" s="25" t="s">
        <v>471</v>
      </c>
      <c r="Q21" s="25" t="s">
        <v>501</v>
      </c>
      <c r="R21" s="25">
        <v>60.6</v>
      </c>
      <c r="S21" s="25">
        <v>60.6</v>
      </c>
      <c r="T21" s="25">
        <v>64</v>
      </c>
      <c r="U21" s="46">
        <f>105.6</f>
        <v>105.6</v>
      </c>
    </row>
    <row r="22" spans="1:22" ht="75" customHeight="1" x14ac:dyDescent="0.2">
      <c r="A22" s="21"/>
      <c r="B22" s="24" t="s">
        <v>55</v>
      </c>
      <c r="C22" s="88" t="s">
        <v>55</v>
      </c>
      <c r="D22" s="88"/>
      <c r="E22" s="88"/>
      <c r="F22" s="88"/>
      <c r="G22" s="88"/>
      <c r="H22" s="88"/>
      <c r="I22" s="88" t="s">
        <v>502</v>
      </c>
      <c r="J22" s="88"/>
      <c r="K22" s="88"/>
      <c r="L22" s="88" t="s">
        <v>503</v>
      </c>
      <c r="M22" s="88"/>
      <c r="N22" s="88"/>
      <c r="O22" s="88"/>
      <c r="P22" s="25" t="s">
        <v>504</v>
      </c>
      <c r="Q22" s="25" t="s">
        <v>71</v>
      </c>
      <c r="R22" s="25">
        <v>90.76</v>
      </c>
      <c r="S22" s="25">
        <v>90.76</v>
      </c>
      <c r="T22" s="25">
        <v>82.3</v>
      </c>
      <c r="U22" s="46">
        <f>90.7</f>
        <v>90.7</v>
      </c>
    </row>
    <row r="23" spans="1:22" ht="75" customHeight="1" thickBot="1" x14ac:dyDescent="0.25">
      <c r="A23" s="21"/>
      <c r="B23" s="24" t="s">
        <v>55</v>
      </c>
      <c r="C23" s="88" t="s">
        <v>55</v>
      </c>
      <c r="D23" s="88"/>
      <c r="E23" s="88"/>
      <c r="F23" s="88"/>
      <c r="G23" s="88"/>
      <c r="H23" s="88"/>
      <c r="I23" s="88" t="s">
        <v>505</v>
      </c>
      <c r="J23" s="88"/>
      <c r="K23" s="88"/>
      <c r="L23" s="88" t="s">
        <v>506</v>
      </c>
      <c r="M23" s="88"/>
      <c r="N23" s="88"/>
      <c r="O23" s="88"/>
      <c r="P23" s="25" t="s">
        <v>198</v>
      </c>
      <c r="Q23" s="25" t="s">
        <v>507</v>
      </c>
      <c r="R23" s="25">
        <v>3</v>
      </c>
      <c r="S23" s="25">
        <v>3</v>
      </c>
      <c r="T23" s="25">
        <v>33.4</v>
      </c>
      <c r="U23" s="46">
        <f>64.67</f>
        <v>64.67</v>
      </c>
    </row>
    <row r="24" spans="1:22" ht="14.25" customHeight="1" thickTop="1" thickBot="1" x14ac:dyDescent="0.25">
      <c r="B24" s="4" t="s">
        <v>80</v>
      </c>
      <c r="C24" s="5"/>
      <c r="D24" s="5"/>
      <c r="E24" s="5"/>
      <c r="F24" s="5"/>
      <c r="G24" s="5"/>
      <c r="H24" s="6"/>
      <c r="I24" s="6"/>
      <c r="J24" s="6"/>
      <c r="K24" s="6"/>
      <c r="L24" s="6"/>
      <c r="M24" s="6"/>
      <c r="N24" s="6"/>
      <c r="O24" s="6"/>
      <c r="P24" s="6"/>
      <c r="Q24" s="6"/>
      <c r="R24" s="6"/>
      <c r="S24" s="6"/>
      <c r="T24" s="6"/>
      <c r="U24" s="7"/>
      <c r="V24" s="26"/>
    </row>
    <row r="25" spans="1:22" ht="26.25" customHeight="1" thickTop="1" x14ac:dyDescent="0.2">
      <c r="B25" s="27"/>
      <c r="C25" s="28"/>
      <c r="D25" s="28"/>
      <c r="E25" s="28"/>
      <c r="F25" s="28"/>
      <c r="G25" s="28"/>
      <c r="H25" s="29"/>
      <c r="I25" s="29"/>
      <c r="J25" s="29"/>
      <c r="K25" s="29"/>
      <c r="L25" s="29"/>
      <c r="M25" s="29"/>
      <c r="N25" s="29"/>
      <c r="O25" s="29"/>
      <c r="P25" s="29"/>
      <c r="Q25" s="29"/>
      <c r="R25" s="30"/>
      <c r="S25" s="31" t="s">
        <v>33</v>
      </c>
      <c r="T25" s="31" t="s">
        <v>81</v>
      </c>
      <c r="U25" s="18" t="s">
        <v>82</v>
      </c>
    </row>
    <row r="26" spans="1:22" ht="26.25" customHeight="1" thickBot="1" x14ac:dyDescent="0.25">
      <c r="B26" s="32"/>
      <c r="C26" s="33"/>
      <c r="D26" s="33"/>
      <c r="E26" s="33"/>
      <c r="F26" s="33"/>
      <c r="G26" s="33"/>
      <c r="H26" s="34"/>
      <c r="I26" s="34"/>
      <c r="J26" s="34"/>
      <c r="K26" s="34"/>
      <c r="L26" s="34"/>
      <c r="M26" s="34"/>
      <c r="N26" s="34"/>
      <c r="O26" s="34"/>
      <c r="P26" s="34"/>
      <c r="Q26" s="34"/>
      <c r="R26" s="34"/>
      <c r="S26" s="35" t="s">
        <v>83</v>
      </c>
      <c r="T26" s="36" t="s">
        <v>83</v>
      </c>
      <c r="U26" s="36" t="s">
        <v>84</v>
      </c>
    </row>
    <row r="27" spans="1:22" ht="13.5" customHeight="1" thickBot="1" x14ac:dyDescent="0.25">
      <c r="B27" s="92" t="s">
        <v>85</v>
      </c>
      <c r="C27" s="93"/>
      <c r="D27" s="93"/>
      <c r="E27" s="37"/>
      <c r="F27" s="37"/>
      <c r="G27" s="37"/>
      <c r="H27" s="38"/>
      <c r="I27" s="38"/>
      <c r="J27" s="38"/>
      <c r="K27" s="38"/>
      <c r="L27" s="38"/>
      <c r="M27" s="38"/>
      <c r="N27" s="38"/>
      <c r="O27" s="38"/>
      <c r="P27" s="39"/>
      <c r="Q27" s="39"/>
      <c r="R27" s="39"/>
      <c r="S27" s="48">
        <v>2080.029599</v>
      </c>
      <c r="T27" s="48">
        <v>2391.9991897399991</v>
      </c>
      <c r="U27" s="49">
        <f>+IF(ISERR(T27/S27*100),"N/A",ROUND(T27/S27*100,1))</f>
        <v>115</v>
      </c>
    </row>
    <row r="28" spans="1:22" ht="13.5" customHeight="1" thickBot="1" x14ac:dyDescent="0.25">
      <c r="B28" s="94" t="s">
        <v>86</v>
      </c>
      <c r="C28" s="95"/>
      <c r="D28" s="95"/>
      <c r="E28" s="40"/>
      <c r="F28" s="40"/>
      <c r="G28" s="40"/>
      <c r="H28" s="41"/>
      <c r="I28" s="41"/>
      <c r="J28" s="41"/>
      <c r="K28" s="41"/>
      <c r="L28" s="41"/>
      <c r="M28" s="41"/>
      <c r="N28" s="41"/>
      <c r="O28" s="41"/>
      <c r="P28" s="42"/>
      <c r="Q28" s="42"/>
      <c r="R28" s="42"/>
      <c r="S28" s="48">
        <v>2391.9991897399991</v>
      </c>
      <c r="T28" s="48">
        <v>2391.9991897399991</v>
      </c>
      <c r="U28" s="49">
        <f>+IF(ISERR(T28/S28*100),"N/A",ROUND(T28/S28*100,1))</f>
        <v>100</v>
      </c>
    </row>
    <row r="29" spans="1:22" ht="14.85" customHeight="1" thickTop="1" thickBot="1" x14ac:dyDescent="0.25">
      <c r="B29" s="4" t="s">
        <v>87</v>
      </c>
      <c r="C29" s="5"/>
      <c r="D29" s="5"/>
      <c r="E29" s="5"/>
      <c r="F29" s="5"/>
      <c r="G29" s="5"/>
      <c r="H29" s="6"/>
      <c r="I29" s="6"/>
      <c r="J29" s="6"/>
      <c r="K29" s="6"/>
      <c r="L29" s="6"/>
      <c r="M29" s="6"/>
      <c r="N29" s="6"/>
      <c r="O29" s="6"/>
      <c r="P29" s="6"/>
      <c r="Q29" s="6"/>
      <c r="R29" s="6"/>
      <c r="S29" s="6"/>
      <c r="T29" s="6"/>
      <c r="U29" s="7"/>
    </row>
    <row r="30" spans="1:22" ht="44.25" customHeight="1" thickTop="1" x14ac:dyDescent="0.2">
      <c r="B30" s="89" t="s">
        <v>88</v>
      </c>
      <c r="C30" s="90"/>
      <c r="D30" s="90"/>
      <c r="E30" s="90"/>
      <c r="F30" s="90"/>
      <c r="G30" s="90"/>
      <c r="H30" s="90"/>
      <c r="I30" s="90"/>
      <c r="J30" s="90"/>
      <c r="K30" s="90"/>
      <c r="L30" s="90"/>
      <c r="M30" s="90"/>
      <c r="N30" s="90"/>
      <c r="O30" s="90"/>
      <c r="P30" s="90"/>
      <c r="Q30" s="90"/>
      <c r="R30" s="90"/>
      <c r="S30" s="90"/>
      <c r="T30" s="90"/>
      <c r="U30" s="91"/>
    </row>
    <row r="31" spans="1:22" ht="79.5" customHeight="1" x14ac:dyDescent="0.2">
      <c r="B31" s="96" t="s">
        <v>508</v>
      </c>
      <c r="C31" s="97"/>
      <c r="D31" s="97"/>
      <c r="E31" s="97"/>
      <c r="F31" s="97"/>
      <c r="G31" s="97"/>
      <c r="H31" s="97"/>
      <c r="I31" s="97"/>
      <c r="J31" s="97"/>
      <c r="K31" s="97"/>
      <c r="L31" s="97"/>
      <c r="M31" s="97"/>
      <c r="N31" s="97"/>
      <c r="O31" s="97"/>
      <c r="P31" s="97"/>
      <c r="Q31" s="97"/>
      <c r="R31" s="97"/>
      <c r="S31" s="97"/>
      <c r="T31" s="97"/>
      <c r="U31" s="98"/>
    </row>
    <row r="32" spans="1:22" ht="94.5" customHeight="1" x14ac:dyDescent="0.2">
      <c r="B32" s="96" t="s">
        <v>509</v>
      </c>
      <c r="C32" s="97"/>
      <c r="D32" s="97"/>
      <c r="E32" s="97"/>
      <c r="F32" s="97"/>
      <c r="G32" s="97"/>
      <c r="H32" s="97"/>
      <c r="I32" s="97"/>
      <c r="J32" s="97"/>
      <c r="K32" s="97"/>
      <c r="L32" s="97"/>
      <c r="M32" s="97"/>
      <c r="N32" s="97"/>
      <c r="O32" s="97"/>
      <c r="P32" s="97"/>
      <c r="Q32" s="97"/>
      <c r="R32" s="97"/>
      <c r="S32" s="97"/>
      <c r="T32" s="97"/>
      <c r="U32" s="98"/>
    </row>
    <row r="33" spans="2:21" ht="157.35" customHeight="1" x14ac:dyDescent="0.2">
      <c r="B33" s="96" t="s">
        <v>510</v>
      </c>
      <c r="C33" s="97"/>
      <c r="D33" s="97"/>
      <c r="E33" s="97"/>
      <c r="F33" s="97"/>
      <c r="G33" s="97"/>
      <c r="H33" s="97"/>
      <c r="I33" s="97"/>
      <c r="J33" s="97"/>
      <c r="K33" s="97"/>
      <c r="L33" s="97"/>
      <c r="M33" s="97"/>
      <c r="N33" s="97"/>
      <c r="O33" s="97"/>
      <c r="P33" s="97"/>
      <c r="Q33" s="97"/>
      <c r="R33" s="97"/>
      <c r="S33" s="97"/>
      <c r="T33" s="97"/>
      <c r="U33" s="98"/>
    </row>
    <row r="34" spans="2:21" ht="96" customHeight="1" x14ac:dyDescent="0.2">
      <c r="B34" s="96" t="s">
        <v>511</v>
      </c>
      <c r="C34" s="97"/>
      <c r="D34" s="97"/>
      <c r="E34" s="97"/>
      <c r="F34" s="97"/>
      <c r="G34" s="97"/>
      <c r="H34" s="97"/>
      <c r="I34" s="97"/>
      <c r="J34" s="97"/>
      <c r="K34" s="97"/>
      <c r="L34" s="97"/>
      <c r="M34" s="97"/>
      <c r="N34" s="97"/>
      <c r="O34" s="97"/>
      <c r="P34" s="97"/>
      <c r="Q34" s="97"/>
      <c r="R34" s="97"/>
      <c r="S34" s="97"/>
      <c r="T34" s="97"/>
      <c r="U34" s="98"/>
    </row>
    <row r="35" spans="2:21" ht="59.25" customHeight="1" x14ac:dyDescent="0.2">
      <c r="B35" s="96" t="s">
        <v>512</v>
      </c>
      <c r="C35" s="97"/>
      <c r="D35" s="97"/>
      <c r="E35" s="97"/>
      <c r="F35" s="97"/>
      <c r="G35" s="97"/>
      <c r="H35" s="97"/>
      <c r="I35" s="97"/>
      <c r="J35" s="97"/>
      <c r="K35" s="97"/>
      <c r="L35" s="97"/>
      <c r="M35" s="97"/>
      <c r="N35" s="97"/>
      <c r="O35" s="97"/>
      <c r="P35" s="97"/>
      <c r="Q35" s="97"/>
      <c r="R35" s="97"/>
      <c r="S35" s="97"/>
      <c r="T35" s="97"/>
      <c r="U35" s="98"/>
    </row>
    <row r="36" spans="2:21" ht="60.75" customHeight="1" x14ac:dyDescent="0.2">
      <c r="B36" s="96" t="s">
        <v>513</v>
      </c>
      <c r="C36" s="97"/>
      <c r="D36" s="97"/>
      <c r="E36" s="97"/>
      <c r="F36" s="97"/>
      <c r="G36" s="97"/>
      <c r="H36" s="97"/>
      <c r="I36" s="97"/>
      <c r="J36" s="97"/>
      <c r="K36" s="97"/>
      <c r="L36" s="97"/>
      <c r="M36" s="97"/>
      <c r="N36" s="97"/>
      <c r="O36" s="97"/>
      <c r="P36" s="97"/>
      <c r="Q36" s="97"/>
      <c r="R36" s="97"/>
      <c r="S36" s="97"/>
      <c r="T36" s="97"/>
      <c r="U36" s="98"/>
    </row>
    <row r="37" spans="2:21" ht="69" customHeight="1" x14ac:dyDescent="0.2">
      <c r="B37" s="96" t="s">
        <v>514</v>
      </c>
      <c r="C37" s="97"/>
      <c r="D37" s="97"/>
      <c r="E37" s="97"/>
      <c r="F37" s="97"/>
      <c r="G37" s="97"/>
      <c r="H37" s="97"/>
      <c r="I37" s="97"/>
      <c r="J37" s="97"/>
      <c r="K37" s="97"/>
      <c r="L37" s="97"/>
      <c r="M37" s="97"/>
      <c r="N37" s="97"/>
      <c r="O37" s="97"/>
      <c r="P37" s="97"/>
      <c r="Q37" s="97"/>
      <c r="R37" s="97"/>
      <c r="S37" s="97"/>
      <c r="T37" s="97"/>
      <c r="U37" s="98"/>
    </row>
    <row r="38" spans="2:21" ht="64.5" customHeight="1" x14ac:dyDescent="0.2">
      <c r="B38" s="96" t="s">
        <v>515</v>
      </c>
      <c r="C38" s="97"/>
      <c r="D38" s="97"/>
      <c r="E38" s="97"/>
      <c r="F38" s="97"/>
      <c r="G38" s="97"/>
      <c r="H38" s="97"/>
      <c r="I38" s="97"/>
      <c r="J38" s="97"/>
      <c r="K38" s="97"/>
      <c r="L38" s="97"/>
      <c r="M38" s="97"/>
      <c r="N38" s="97"/>
      <c r="O38" s="97"/>
      <c r="P38" s="97"/>
      <c r="Q38" s="97"/>
      <c r="R38" s="97"/>
      <c r="S38" s="97"/>
      <c r="T38" s="97"/>
      <c r="U38" s="98"/>
    </row>
    <row r="39" spans="2:21" ht="73.5" customHeight="1" x14ac:dyDescent="0.2">
      <c r="B39" s="96" t="s">
        <v>516</v>
      </c>
      <c r="C39" s="97"/>
      <c r="D39" s="97"/>
      <c r="E39" s="97"/>
      <c r="F39" s="97"/>
      <c r="G39" s="97"/>
      <c r="H39" s="97"/>
      <c r="I39" s="97"/>
      <c r="J39" s="97"/>
      <c r="K39" s="97"/>
      <c r="L39" s="97"/>
      <c r="M39" s="97"/>
      <c r="N39" s="97"/>
      <c r="O39" s="97"/>
      <c r="P39" s="97"/>
      <c r="Q39" s="97"/>
      <c r="R39" s="97"/>
      <c r="S39" s="97"/>
      <c r="T39" s="97"/>
      <c r="U39" s="98"/>
    </row>
    <row r="40" spans="2:21" ht="81.75" customHeight="1" x14ac:dyDescent="0.2">
      <c r="B40" s="96" t="s">
        <v>517</v>
      </c>
      <c r="C40" s="97"/>
      <c r="D40" s="97"/>
      <c r="E40" s="97"/>
      <c r="F40" s="97"/>
      <c r="G40" s="97"/>
      <c r="H40" s="97"/>
      <c r="I40" s="97"/>
      <c r="J40" s="97"/>
      <c r="K40" s="97"/>
      <c r="L40" s="97"/>
      <c r="M40" s="97"/>
      <c r="N40" s="97"/>
      <c r="O40" s="97"/>
      <c r="P40" s="97"/>
      <c r="Q40" s="97"/>
      <c r="R40" s="97"/>
      <c r="S40" s="97"/>
      <c r="T40" s="97"/>
      <c r="U40" s="98"/>
    </row>
    <row r="41" spans="2:21" ht="66.75" customHeight="1" x14ac:dyDescent="0.2">
      <c r="B41" s="96" t="s">
        <v>518</v>
      </c>
      <c r="C41" s="97"/>
      <c r="D41" s="97"/>
      <c r="E41" s="97"/>
      <c r="F41" s="97"/>
      <c r="G41" s="97"/>
      <c r="H41" s="97"/>
      <c r="I41" s="97"/>
      <c r="J41" s="97"/>
      <c r="K41" s="97"/>
      <c r="L41" s="97"/>
      <c r="M41" s="97"/>
      <c r="N41" s="97"/>
      <c r="O41" s="97"/>
      <c r="P41" s="97"/>
      <c r="Q41" s="97"/>
      <c r="R41" s="97"/>
      <c r="S41" s="97"/>
      <c r="T41" s="97"/>
      <c r="U41" s="98"/>
    </row>
    <row r="42" spans="2:21" ht="79.5" customHeight="1" x14ac:dyDescent="0.2">
      <c r="B42" s="96" t="s">
        <v>519</v>
      </c>
      <c r="C42" s="97"/>
      <c r="D42" s="97"/>
      <c r="E42" s="97"/>
      <c r="F42" s="97"/>
      <c r="G42" s="97"/>
      <c r="H42" s="97"/>
      <c r="I42" s="97"/>
      <c r="J42" s="97"/>
      <c r="K42" s="97"/>
      <c r="L42" s="97"/>
      <c r="M42" s="97"/>
      <c r="N42" s="97"/>
      <c r="O42" s="97"/>
      <c r="P42" s="97"/>
      <c r="Q42" s="97"/>
      <c r="R42" s="97"/>
      <c r="S42" s="97"/>
      <c r="T42" s="97"/>
      <c r="U42" s="98"/>
    </row>
    <row r="43" spans="2:21" ht="68.25" customHeight="1" thickBot="1" x14ac:dyDescent="0.25">
      <c r="B43" s="99" t="s">
        <v>520</v>
      </c>
      <c r="C43" s="100"/>
      <c r="D43" s="100"/>
      <c r="E43" s="100"/>
      <c r="F43" s="100"/>
      <c r="G43" s="100"/>
      <c r="H43" s="100"/>
      <c r="I43" s="100"/>
      <c r="J43" s="100"/>
      <c r="K43" s="100"/>
      <c r="L43" s="100"/>
      <c r="M43" s="100"/>
      <c r="N43" s="100"/>
      <c r="O43" s="100"/>
      <c r="P43" s="100"/>
      <c r="Q43" s="100"/>
      <c r="R43" s="100"/>
      <c r="S43" s="100"/>
      <c r="T43" s="100"/>
      <c r="U43" s="101"/>
    </row>
  </sheetData>
  <mergeCells count="76">
    <mergeCell ref="B40:U40"/>
    <mergeCell ref="B41:U41"/>
    <mergeCell ref="B42:U42"/>
    <mergeCell ref="B43:U43"/>
    <mergeCell ref="B34:U34"/>
    <mergeCell ref="B35:U35"/>
    <mergeCell ref="B36:U36"/>
    <mergeCell ref="B37:U37"/>
    <mergeCell ref="B38:U38"/>
    <mergeCell ref="B39:U39"/>
    <mergeCell ref="B33:U33"/>
    <mergeCell ref="C22:H22"/>
    <mergeCell ref="I22:K22"/>
    <mergeCell ref="L22:O22"/>
    <mergeCell ref="C23:H23"/>
    <mergeCell ref="I23:K23"/>
    <mergeCell ref="L23:O23"/>
    <mergeCell ref="B27:D27"/>
    <mergeCell ref="B28:D28"/>
    <mergeCell ref="B30:U30"/>
    <mergeCell ref="B31:U31"/>
    <mergeCell ref="B32:U32"/>
    <mergeCell ref="C20:H20"/>
    <mergeCell ref="I20:K20"/>
    <mergeCell ref="L20:O20"/>
    <mergeCell ref="C21:H21"/>
    <mergeCell ref="I21:K21"/>
    <mergeCell ref="L21:O21"/>
    <mergeCell ref="C18:H18"/>
    <mergeCell ref="I18:K18"/>
    <mergeCell ref="L18:O18"/>
    <mergeCell ref="C19:H19"/>
    <mergeCell ref="I19:K19"/>
    <mergeCell ref="L19:O19"/>
    <mergeCell ref="C16:H16"/>
    <mergeCell ref="I16:K16"/>
    <mergeCell ref="L16:O16"/>
    <mergeCell ref="C17:H17"/>
    <mergeCell ref="I17:K17"/>
    <mergeCell ref="L17:O17"/>
    <mergeCell ref="C14:H14"/>
    <mergeCell ref="I14:K14"/>
    <mergeCell ref="L14:O14"/>
    <mergeCell ref="C15:H15"/>
    <mergeCell ref="I15:K15"/>
    <mergeCell ref="L15:O15"/>
    <mergeCell ref="C12:H12"/>
    <mergeCell ref="I12:K12"/>
    <mergeCell ref="L12:O12"/>
    <mergeCell ref="C13:H13"/>
    <mergeCell ref="I13:K13"/>
    <mergeCell ref="L13:O13"/>
    <mergeCell ref="C11:H11"/>
    <mergeCell ref="I11:K11"/>
    <mergeCell ref="L11:O11"/>
    <mergeCell ref="C6:G6"/>
    <mergeCell ref="K6:M6"/>
    <mergeCell ref="P6:Q6"/>
    <mergeCell ref="T6:U6"/>
    <mergeCell ref="B8:B10"/>
    <mergeCell ref="C8:H10"/>
    <mergeCell ref="I8:S8"/>
    <mergeCell ref="T8:U8"/>
    <mergeCell ref="I9:K10"/>
    <mergeCell ref="L9:O10"/>
    <mergeCell ref="P9:P10"/>
    <mergeCell ref="Q9:Q10"/>
    <mergeCell ref="R9:S9"/>
    <mergeCell ref="T9:T10"/>
    <mergeCell ref="U9:U10"/>
    <mergeCell ref="B5:U5"/>
    <mergeCell ref="B1:L1"/>
    <mergeCell ref="D4:H4"/>
    <mergeCell ref="L4:O4"/>
    <mergeCell ref="Q4:R4"/>
    <mergeCell ref="T4:U4"/>
  </mergeCells>
  <printOptions horizontalCentered="1"/>
  <pageMargins left="0.78740157480314965" right="0.78740157480314965" top="0.98425196850393704" bottom="0.98425196850393704" header="0" footer="0.39370078740157483"/>
  <pageSetup scale="60" fitToHeight="10" orientation="landscape" r:id="rId1"/>
  <headerFooter>
    <oddFooter>&amp;R&amp;P de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45"/>
  <sheetViews>
    <sheetView view="pageBreakPreview" topLeftCell="A10" zoomScale="80" zoomScaleNormal="80" zoomScaleSheetLayoutView="80" workbookViewId="0">
      <selection activeCell="U12" sqref="U12"/>
    </sheetView>
  </sheetViews>
  <sheetFormatPr baseColWidth="10" defaultColWidth="10" defaultRowHeight="12.75" x14ac:dyDescent="0.2"/>
  <cols>
    <col min="1" max="1" width="3.5" style="1" customWidth="1"/>
    <col min="2" max="2" width="14.7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9.625" style="1" customWidth="1"/>
    <col min="19" max="19" width="13" style="1" customWidth="1"/>
    <col min="20" max="20" width="10.75" style="1" customWidth="1"/>
    <col min="21" max="21" width="11.37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50" t="s">
        <v>0</v>
      </c>
      <c r="C1" s="50"/>
      <c r="D1" s="50"/>
      <c r="E1" s="50"/>
      <c r="F1" s="50"/>
      <c r="G1" s="50"/>
      <c r="H1" s="50"/>
      <c r="I1" s="50"/>
      <c r="J1" s="50"/>
      <c r="K1" s="50"/>
      <c r="L1" s="50"/>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51.75" customHeight="1" thickTop="1" x14ac:dyDescent="0.2">
      <c r="B4" s="8" t="s">
        <v>6</v>
      </c>
      <c r="C4" s="9" t="s">
        <v>521</v>
      </c>
      <c r="D4" s="57" t="s">
        <v>522</v>
      </c>
      <c r="E4" s="57"/>
      <c r="F4" s="57"/>
      <c r="G4" s="57"/>
      <c r="H4" s="57"/>
      <c r="I4" s="10"/>
      <c r="J4" s="11" t="s">
        <v>9</v>
      </c>
      <c r="K4" s="12" t="s">
        <v>10</v>
      </c>
      <c r="L4" s="58" t="s">
        <v>11</v>
      </c>
      <c r="M4" s="58"/>
      <c r="N4" s="58"/>
      <c r="O4" s="58"/>
      <c r="P4" s="11" t="s">
        <v>12</v>
      </c>
      <c r="Q4" s="58" t="s">
        <v>523</v>
      </c>
      <c r="R4" s="58"/>
      <c r="S4" s="11" t="s">
        <v>14</v>
      </c>
      <c r="T4" s="58" t="s">
        <v>465</v>
      </c>
      <c r="U4" s="59"/>
    </row>
    <row r="5" spans="1:21" ht="15.75" customHeight="1" x14ac:dyDescent="0.2">
      <c r="B5" s="54" t="s">
        <v>15</v>
      </c>
      <c r="C5" s="55"/>
      <c r="D5" s="55"/>
      <c r="E5" s="55"/>
      <c r="F5" s="55"/>
      <c r="G5" s="55"/>
      <c r="H5" s="55"/>
      <c r="I5" s="55"/>
      <c r="J5" s="55"/>
      <c r="K5" s="55"/>
      <c r="L5" s="55"/>
      <c r="M5" s="55"/>
      <c r="N5" s="55"/>
      <c r="O5" s="55"/>
      <c r="P5" s="55"/>
      <c r="Q5" s="55"/>
      <c r="R5" s="55"/>
      <c r="S5" s="55"/>
      <c r="T5" s="55"/>
      <c r="U5" s="56"/>
    </row>
    <row r="6" spans="1:21" ht="37.5" customHeight="1" thickBot="1" x14ac:dyDescent="0.25">
      <c r="B6" s="13" t="s">
        <v>16</v>
      </c>
      <c r="C6" s="60" t="s">
        <v>17</v>
      </c>
      <c r="D6" s="60"/>
      <c r="E6" s="60"/>
      <c r="F6" s="60"/>
      <c r="G6" s="60"/>
      <c r="H6" s="14"/>
      <c r="I6" s="14"/>
      <c r="J6" s="14" t="s">
        <v>18</v>
      </c>
      <c r="K6" s="60" t="s">
        <v>19</v>
      </c>
      <c r="L6" s="60"/>
      <c r="M6" s="60"/>
      <c r="N6" s="15"/>
      <c r="O6" s="16" t="s">
        <v>20</v>
      </c>
      <c r="P6" s="60" t="s">
        <v>524</v>
      </c>
      <c r="Q6" s="60"/>
      <c r="R6" s="17"/>
      <c r="S6" s="16" t="s">
        <v>22</v>
      </c>
      <c r="T6" s="60" t="s">
        <v>467</v>
      </c>
      <c r="U6" s="61"/>
    </row>
    <row r="7" spans="1:21" ht="14.25" customHeight="1" thickTop="1" thickBot="1" x14ac:dyDescent="0.25">
      <c r="B7" s="4" t="s">
        <v>24</v>
      </c>
      <c r="C7" s="5"/>
      <c r="D7" s="5"/>
      <c r="E7" s="5"/>
      <c r="F7" s="5"/>
      <c r="G7" s="5"/>
      <c r="H7" s="6"/>
      <c r="I7" s="6"/>
      <c r="J7" s="6"/>
      <c r="K7" s="6"/>
      <c r="L7" s="6"/>
      <c r="M7" s="6"/>
      <c r="N7" s="6"/>
      <c r="O7" s="6"/>
      <c r="P7" s="6"/>
      <c r="Q7" s="6"/>
      <c r="R7" s="6"/>
      <c r="S7" s="6"/>
      <c r="T7" s="6"/>
      <c r="U7" s="7"/>
    </row>
    <row r="8" spans="1:21" ht="16.5" customHeight="1" thickTop="1" x14ac:dyDescent="0.2">
      <c r="B8" s="62" t="s">
        <v>25</v>
      </c>
      <c r="C8" s="65" t="s">
        <v>26</v>
      </c>
      <c r="D8" s="66"/>
      <c r="E8" s="66"/>
      <c r="F8" s="66"/>
      <c r="G8" s="66"/>
      <c r="H8" s="67"/>
      <c r="I8" s="74" t="s">
        <v>27</v>
      </c>
      <c r="J8" s="75"/>
      <c r="K8" s="75"/>
      <c r="L8" s="75"/>
      <c r="M8" s="75"/>
      <c r="N8" s="75"/>
      <c r="O8" s="75"/>
      <c r="P8" s="75"/>
      <c r="Q8" s="75"/>
      <c r="R8" s="75"/>
      <c r="S8" s="76"/>
      <c r="T8" s="77" t="s">
        <v>28</v>
      </c>
      <c r="U8" s="78"/>
    </row>
    <row r="9" spans="1:21" ht="19.5" customHeight="1" x14ac:dyDescent="0.2">
      <c r="B9" s="63"/>
      <c r="C9" s="68"/>
      <c r="D9" s="69"/>
      <c r="E9" s="69"/>
      <c r="F9" s="69"/>
      <c r="G9" s="69"/>
      <c r="H9" s="70"/>
      <c r="I9" s="79" t="s">
        <v>29</v>
      </c>
      <c r="J9" s="80"/>
      <c r="K9" s="80"/>
      <c r="L9" s="80" t="s">
        <v>30</v>
      </c>
      <c r="M9" s="80"/>
      <c r="N9" s="80"/>
      <c r="O9" s="80"/>
      <c r="P9" s="80" t="s">
        <v>31</v>
      </c>
      <c r="Q9" s="80" t="s">
        <v>32</v>
      </c>
      <c r="R9" s="83" t="s">
        <v>33</v>
      </c>
      <c r="S9" s="84"/>
      <c r="T9" s="80" t="s">
        <v>34</v>
      </c>
      <c r="U9" s="85" t="s">
        <v>35</v>
      </c>
    </row>
    <row r="10" spans="1:21" ht="26.25" customHeight="1" thickBot="1" x14ac:dyDescent="0.25">
      <c r="B10" s="64"/>
      <c r="C10" s="71"/>
      <c r="D10" s="72"/>
      <c r="E10" s="72"/>
      <c r="F10" s="72"/>
      <c r="G10" s="72"/>
      <c r="H10" s="73"/>
      <c r="I10" s="81"/>
      <c r="J10" s="82"/>
      <c r="K10" s="82"/>
      <c r="L10" s="82"/>
      <c r="M10" s="82"/>
      <c r="N10" s="82"/>
      <c r="O10" s="82"/>
      <c r="P10" s="82"/>
      <c r="Q10" s="82"/>
      <c r="R10" s="19" t="s">
        <v>36</v>
      </c>
      <c r="S10" s="20" t="s">
        <v>37</v>
      </c>
      <c r="T10" s="82"/>
      <c r="U10" s="86"/>
    </row>
    <row r="11" spans="1:21" ht="132.75" customHeight="1" thickTop="1" thickBot="1" x14ac:dyDescent="0.25">
      <c r="A11" s="21"/>
      <c r="B11" s="22" t="s">
        <v>38</v>
      </c>
      <c r="C11" s="87" t="s">
        <v>525</v>
      </c>
      <c r="D11" s="87"/>
      <c r="E11" s="87"/>
      <c r="F11" s="87"/>
      <c r="G11" s="87"/>
      <c r="H11" s="87"/>
      <c r="I11" s="87" t="s">
        <v>526</v>
      </c>
      <c r="J11" s="87"/>
      <c r="K11" s="87"/>
      <c r="L11" s="87" t="s">
        <v>527</v>
      </c>
      <c r="M11" s="87"/>
      <c r="N11" s="87"/>
      <c r="O11" s="87"/>
      <c r="P11" s="23" t="s">
        <v>48</v>
      </c>
      <c r="Q11" s="23" t="s">
        <v>43</v>
      </c>
      <c r="R11" s="23">
        <v>75.5</v>
      </c>
      <c r="S11" s="23">
        <v>76.27</v>
      </c>
      <c r="T11" s="23">
        <v>79.03</v>
      </c>
      <c r="U11" s="45">
        <f>103.61</f>
        <v>103.61</v>
      </c>
    </row>
    <row r="12" spans="1:21" ht="101.25" customHeight="1" thickTop="1" thickBot="1" x14ac:dyDescent="0.25">
      <c r="A12" s="21"/>
      <c r="B12" s="22" t="s">
        <v>44</v>
      </c>
      <c r="C12" s="87" t="s">
        <v>528</v>
      </c>
      <c r="D12" s="87"/>
      <c r="E12" s="87"/>
      <c r="F12" s="87"/>
      <c r="G12" s="87"/>
      <c r="H12" s="87"/>
      <c r="I12" s="87" t="s">
        <v>529</v>
      </c>
      <c r="J12" s="87"/>
      <c r="K12" s="87"/>
      <c r="L12" s="87" t="s">
        <v>530</v>
      </c>
      <c r="M12" s="87"/>
      <c r="N12" s="87"/>
      <c r="O12" s="87"/>
      <c r="P12" s="23" t="s">
        <v>48</v>
      </c>
      <c r="Q12" s="23" t="s">
        <v>43</v>
      </c>
      <c r="R12" s="23">
        <v>44.73</v>
      </c>
      <c r="S12" s="23">
        <v>44.73</v>
      </c>
      <c r="T12" s="23">
        <v>48.68</v>
      </c>
      <c r="U12" s="45">
        <v>108.83</v>
      </c>
    </row>
    <row r="13" spans="1:21" ht="75" customHeight="1" thickTop="1" x14ac:dyDescent="0.2">
      <c r="A13" s="21"/>
      <c r="B13" s="22" t="s">
        <v>50</v>
      </c>
      <c r="C13" s="87" t="s">
        <v>531</v>
      </c>
      <c r="D13" s="87"/>
      <c r="E13" s="87"/>
      <c r="F13" s="87"/>
      <c r="G13" s="87"/>
      <c r="H13" s="87"/>
      <c r="I13" s="87" t="s">
        <v>532</v>
      </c>
      <c r="J13" s="87"/>
      <c r="K13" s="87"/>
      <c r="L13" s="87" t="s">
        <v>533</v>
      </c>
      <c r="M13" s="87"/>
      <c r="N13" s="87"/>
      <c r="O13" s="87"/>
      <c r="P13" s="23" t="s">
        <v>534</v>
      </c>
      <c r="Q13" s="23" t="s">
        <v>535</v>
      </c>
      <c r="R13" s="23">
        <v>2</v>
      </c>
      <c r="S13" s="23">
        <v>2.2999999999999998</v>
      </c>
      <c r="T13" s="23">
        <v>2.36</v>
      </c>
      <c r="U13" s="45">
        <f>102.6</f>
        <v>102.6</v>
      </c>
    </row>
    <row r="14" spans="1:21" ht="96.75" customHeight="1" x14ac:dyDescent="0.2">
      <c r="A14" s="21"/>
      <c r="B14" s="24" t="s">
        <v>55</v>
      </c>
      <c r="C14" s="88" t="s">
        <v>536</v>
      </c>
      <c r="D14" s="88"/>
      <c r="E14" s="88"/>
      <c r="F14" s="88"/>
      <c r="G14" s="88"/>
      <c r="H14" s="88"/>
      <c r="I14" s="88" t="s">
        <v>537</v>
      </c>
      <c r="J14" s="88"/>
      <c r="K14" s="88"/>
      <c r="L14" s="88" t="s">
        <v>538</v>
      </c>
      <c r="M14" s="88"/>
      <c r="N14" s="88"/>
      <c r="O14" s="88"/>
      <c r="P14" s="25" t="s">
        <v>539</v>
      </c>
      <c r="Q14" s="25" t="s">
        <v>71</v>
      </c>
      <c r="R14" s="25">
        <v>39.89</v>
      </c>
      <c r="S14" s="25">
        <v>36.770000000000003</v>
      </c>
      <c r="T14" s="25">
        <v>23.63</v>
      </c>
      <c r="U14" s="46">
        <f>64.26</f>
        <v>64.260000000000005</v>
      </c>
    </row>
    <row r="15" spans="1:21" ht="75" customHeight="1" x14ac:dyDescent="0.2">
      <c r="A15" s="21"/>
      <c r="B15" s="24" t="s">
        <v>55</v>
      </c>
      <c r="C15" s="88" t="s">
        <v>540</v>
      </c>
      <c r="D15" s="88"/>
      <c r="E15" s="88"/>
      <c r="F15" s="88"/>
      <c r="G15" s="88"/>
      <c r="H15" s="88"/>
      <c r="I15" s="88" t="s">
        <v>541</v>
      </c>
      <c r="J15" s="88"/>
      <c r="K15" s="88"/>
      <c r="L15" s="88" t="s">
        <v>542</v>
      </c>
      <c r="M15" s="88"/>
      <c r="N15" s="88"/>
      <c r="O15" s="88"/>
      <c r="P15" s="25" t="s">
        <v>198</v>
      </c>
      <c r="Q15" s="25" t="s">
        <v>71</v>
      </c>
      <c r="R15" s="25">
        <v>0.01</v>
      </c>
      <c r="S15" s="25">
        <v>0.01</v>
      </c>
      <c r="T15" s="25">
        <v>95.75</v>
      </c>
      <c r="U15" s="46">
        <f>95.75</f>
        <v>95.75</v>
      </c>
    </row>
    <row r="16" spans="1:21" ht="75" customHeight="1" x14ac:dyDescent="0.2">
      <c r="A16" s="21"/>
      <c r="B16" s="24" t="s">
        <v>55</v>
      </c>
      <c r="C16" s="88" t="s">
        <v>543</v>
      </c>
      <c r="D16" s="88"/>
      <c r="E16" s="88"/>
      <c r="F16" s="88"/>
      <c r="G16" s="88"/>
      <c r="H16" s="88"/>
      <c r="I16" s="88" t="s">
        <v>544</v>
      </c>
      <c r="J16" s="88"/>
      <c r="K16" s="88"/>
      <c r="L16" s="88" t="s">
        <v>545</v>
      </c>
      <c r="M16" s="88"/>
      <c r="N16" s="88"/>
      <c r="O16" s="88"/>
      <c r="P16" s="25" t="s">
        <v>48</v>
      </c>
      <c r="Q16" s="25" t="s">
        <v>71</v>
      </c>
      <c r="R16" s="25">
        <v>52</v>
      </c>
      <c r="S16" s="25">
        <v>51</v>
      </c>
      <c r="T16" s="25">
        <v>49.38</v>
      </c>
      <c r="U16" s="46">
        <f>96.82</f>
        <v>96.82</v>
      </c>
    </row>
    <row r="17" spans="1:22" ht="96" customHeight="1" thickBot="1" x14ac:dyDescent="0.25">
      <c r="A17" s="21"/>
      <c r="B17" s="24" t="s">
        <v>55</v>
      </c>
      <c r="C17" s="88" t="s">
        <v>55</v>
      </c>
      <c r="D17" s="88"/>
      <c r="E17" s="88"/>
      <c r="F17" s="88"/>
      <c r="G17" s="88"/>
      <c r="H17" s="88"/>
      <c r="I17" s="88" t="s">
        <v>546</v>
      </c>
      <c r="J17" s="88"/>
      <c r="K17" s="88"/>
      <c r="L17" s="88" t="s">
        <v>547</v>
      </c>
      <c r="M17" s="88"/>
      <c r="N17" s="88"/>
      <c r="O17" s="88"/>
      <c r="P17" s="25" t="s">
        <v>48</v>
      </c>
      <c r="Q17" s="25" t="s">
        <v>71</v>
      </c>
      <c r="R17" s="25">
        <v>74.5</v>
      </c>
      <c r="S17" s="25">
        <v>74.260000000000005</v>
      </c>
      <c r="T17" s="25">
        <v>77.150000000000006</v>
      </c>
      <c r="U17" s="46">
        <f>103.89</f>
        <v>103.89</v>
      </c>
    </row>
    <row r="18" spans="1:22" ht="75" customHeight="1" thickTop="1" x14ac:dyDescent="0.2">
      <c r="A18" s="21"/>
      <c r="B18" s="22" t="s">
        <v>61</v>
      </c>
      <c r="C18" s="87" t="s">
        <v>548</v>
      </c>
      <c r="D18" s="87"/>
      <c r="E18" s="87"/>
      <c r="F18" s="87"/>
      <c r="G18" s="87"/>
      <c r="H18" s="87"/>
      <c r="I18" s="87" t="s">
        <v>549</v>
      </c>
      <c r="J18" s="87"/>
      <c r="K18" s="87"/>
      <c r="L18" s="87" t="s">
        <v>550</v>
      </c>
      <c r="M18" s="87"/>
      <c r="N18" s="87"/>
      <c r="O18" s="87"/>
      <c r="P18" s="23" t="s">
        <v>48</v>
      </c>
      <c r="Q18" s="23" t="s">
        <v>66</v>
      </c>
      <c r="R18" s="23">
        <v>98</v>
      </c>
      <c r="S18" s="23">
        <v>98.59</v>
      </c>
      <c r="T18" s="23">
        <v>99.77</v>
      </c>
      <c r="U18" s="45">
        <f>101.19</f>
        <v>101.19</v>
      </c>
    </row>
    <row r="19" spans="1:22" ht="133.5" customHeight="1" x14ac:dyDescent="0.2">
      <c r="A19" s="21"/>
      <c r="B19" s="24" t="s">
        <v>55</v>
      </c>
      <c r="C19" s="88" t="s">
        <v>551</v>
      </c>
      <c r="D19" s="88"/>
      <c r="E19" s="88"/>
      <c r="F19" s="88"/>
      <c r="G19" s="88"/>
      <c r="H19" s="88"/>
      <c r="I19" s="88" t="s">
        <v>552</v>
      </c>
      <c r="J19" s="88"/>
      <c r="K19" s="88"/>
      <c r="L19" s="88" t="s">
        <v>553</v>
      </c>
      <c r="M19" s="88"/>
      <c r="N19" s="88"/>
      <c r="O19" s="88"/>
      <c r="P19" s="25" t="s">
        <v>48</v>
      </c>
      <c r="Q19" s="25" t="s">
        <v>535</v>
      </c>
      <c r="R19" s="25">
        <v>80</v>
      </c>
      <c r="S19" s="25">
        <v>83.18</v>
      </c>
      <c r="T19" s="25">
        <v>94.32</v>
      </c>
      <c r="U19" s="46">
        <f>113.39</f>
        <v>113.39</v>
      </c>
    </row>
    <row r="20" spans="1:22" ht="75" customHeight="1" x14ac:dyDescent="0.2">
      <c r="A20" s="21"/>
      <c r="B20" s="24" t="s">
        <v>55</v>
      </c>
      <c r="C20" s="88" t="s">
        <v>554</v>
      </c>
      <c r="D20" s="88"/>
      <c r="E20" s="88"/>
      <c r="F20" s="88"/>
      <c r="G20" s="88"/>
      <c r="H20" s="88"/>
      <c r="I20" s="88" t="s">
        <v>555</v>
      </c>
      <c r="J20" s="88"/>
      <c r="K20" s="88"/>
      <c r="L20" s="88" t="s">
        <v>556</v>
      </c>
      <c r="M20" s="88"/>
      <c r="N20" s="88"/>
      <c r="O20" s="88"/>
      <c r="P20" s="25" t="s">
        <v>48</v>
      </c>
      <c r="Q20" s="25" t="s">
        <v>71</v>
      </c>
      <c r="R20" s="25">
        <v>45</v>
      </c>
      <c r="S20" s="25">
        <v>32.979999999999997</v>
      </c>
      <c r="T20" s="25">
        <v>39.21</v>
      </c>
      <c r="U20" s="46">
        <f>118.89</f>
        <v>118.89</v>
      </c>
    </row>
    <row r="21" spans="1:22" ht="75" customHeight="1" x14ac:dyDescent="0.2">
      <c r="A21" s="21"/>
      <c r="B21" s="24" t="s">
        <v>55</v>
      </c>
      <c r="C21" s="88" t="s">
        <v>557</v>
      </c>
      <c r="D21" s="88"/>
      <c r="E21" s="88"/>
      <c r="F21" s="88"/>
      <c r="G21" s="88"/>
      <c r="H21" s="88"/>
      <c r="I21" s="88" t="s">
        <v>558</v>
      </c>
      <c r="J21" s="88"/>
      <c r="K21" s="88"/>
      <c r="L21" s="88" t="s">
        <v>559</v>
      </c>
      <c r="M21" s="88"/>
      <c r="N21" s="88"/>
      <c r="O21" s="88"/>
      <c r="P21" s="25" t="s">
        <v>48</v>
      </c>
      <c r="Q21" s="25" t="s">
        <v>71</v>
      </c>
      <c r="R21" s="25">
        <v>57</v>
      </c>
      <c r="S21" s="25">
        <v>59.97</v>
      </c>
      <c r="T21" s="25">
        <v>61.59</v>
      </c>
      <c r="U21" s="46">
        <f>102.7</f>
        <v>102.7</v>
      </c>
    </row>
    <row r="22" spans="1:22" ht="89.25" customHeight="1" x14ac:dyDescent="0.2">
      <c r="A22" s="21"/>
      <c r="B22" s="24" t="s">
        <v>55</v>
      </c>
      <c r="C22" s="88" t="s">
        <v>560</v>
      </c>
      <c r="D22" s="88"/>
      <c r="E22" s="88"/>
      <c r="F22" s="88"/>
      <c r="G22" s="88"/>
      <c r="H22" s="88"/>
      <c r="I22" s="88" t="s">
        <v>561</v>
      </c>
      <c r="J22" s="88"/>
      <c r="K22" s="88"/>
      <c r="L22" s="88" t="s">
        <v>562</v>
      </c>
      <c r="M22" s="88"/>
      <c r="N22" s="88"/>
      <c r="O22" s="88"/>
      <c r="P22" s="25" t="s">
        <v>48</v>
      </c>
      <c r="Q22" s="25" t="s">
        <v>66</v>
      </c>
      <c r="R22" s="25">
        <v>97.09</v>
      </c>
      <c r="S22" s="25">
        <v>98.51</v>
      </c>
      <c r="T22" s="25">
        <v>119.49</v>
      </c>
      <c r="U22" s="46">
        <f>121.29</f>
        <v>121.29</v>
      </c>
    </row>
    <row r="23" spans="1:22" ht="123" customHeight="1" x14ac:dyDescent="0.2">
      <c r="A23" s="21"/>
      <c r="B23" s="24" t="s">
        <v>55</v>
      </c>
      <c r="C23" s="88" t="s">
        <v>563</v>
      </c>
      <c r="D23" s="88"/>
      <c r="E23" s="88"/>
      <c r="F23" s="88"/>
      <c r="G23" s="88"/>
      <c r="H23" s="88"/>
      <c r="I23" s="88" t="s">
        <v>564</v>
      </c>
      <c r="J23" s="88"/>
      <c r="K23" s="88"/>
      <c r="L23" s="88" t="s">
        <v>565</v>
      </c>
      <c r="M23" s="88"/>
      <c r="N23" s="88"/>
      <c r="O23" s="88"/>
      <c r="P23" s="25" t="s">
        <v>48</v>
      </c>
      <c r="Q23" s="25" t="s">
        <v>535</v>
      </c>
      <c r="R23" s="25">
        <v>89.37</v>
      </c>
      <c r="S23" s="25">
        <v>90.5</v>
      </c>
      <c r="T23" s="25">
        <v>86.65</v>
      </c>
      <c r="U23" s="46">
        <f>95.74</f>
        <v>95.74</v>
      </c>
    </row>
    <row r="24" spans="1:22" ht="100.5" customHeight="1" thickBot="1" x14ac:dyDescent="0.25">
      <c r="A24" s="21"/>
      <c r="B24" s="24" t="s">
        <v>55</v>
      </c>
      <c r="C24" s="88" t="s">
        <v>566</v>
      </c>
      <c r="D24" s="88"/>
      <c r="E24" s="88"/>
      <c r="F24" s="88"/>
      <c r="G24" s="88"/>
      <c r="H24" s="88"/>
      <c r="I24" s="88" t="s">
        <v>567</v>
      </c>
      <c r="J24" s="88"/>
      <c r="K24" s="88"/>
      <c r="L24" s="88" t="s">
        <v>568</v>
      </c>
      <c r="M24" s="88"/>
      <c r="N24" s="88"/>
      <c r="O24" s="88"/>
      <c r="P24" s="25" t="s">
        <v>48</v>
      </c>
      <c r="Q24" s="25" t="s">
        <v>71</v>
      </c>
      <c r="R24" s="25">
        <v>56</v>
      </c>
      <c r="S24" s="25">
        <v>70</v>
      </c>
      <c r="T24" s="25">
        <v>69</v>
      </c>
      <c r="U24" s="46">
        <f>98.57</f>
        <v>98.57</v>
      </c>
    </row>
    <row r="25" spans="1:22" ht="14.25" customHeight="1" thickTop="1" thickBot="1" x14ac:dyDescent="0.25">
      <c r="B25" s="4" t="s">
        <v>80</v>
      </c>
      <c r="C25" s="5"/>
      <c r="D25" s="5"/>
      <c r="E25" s="5"/>
      <c r="F25" s="5"/>
      <c r="G25" s="5"/>
      <c r="H25" s="6"/>
      <c r="I25" s="6"/>
      <c r="J25" s="6"/>
      <c r="K25" s="6"/>
      <c r="L25" s="6"/>
      <c r="M25" s="6"/>
      <c r="N25" s="6"/>
      <c r="O25" s="6"/>
      <c r="P25" s="6"/>
      <c r="Q25" s="6"/>
      <c r="R25" s="6"/>
      <c r="S25" s="6"/>
      <c r="T25" s="6"/>
      <c r="U25" s="7"/>
      <c r="V25" s="26"/>
    </row>
    <row r="26" spans="1:22" ht="26.25" customHeight="1" thickTop="1" x14ac:dyDescent="0.2">
      <c r="B26" s="27"/>
      <c r="C26" s="28"/>
      <c r="D26" s="28"/>
      <c r="E26" s="28"/>
      <c r="F26" s="28"/>
      <c r="G26" s="28"/>
      <c r="H26" s="29"/>
      <c r="I26" s="29"/>
      <c r="J26" s="29"/>
      <c r="K26" s="29"/>
      <c r="L26" s="29"/>
      <c r="M26" s="29"/>
      <c r="N26" s="29"/>
      <c r="O26" s="29"/>
      <c r="P26" s="29"/>
      <c r="Q26" s="29"/>
      <c r="R26" s="30"/>
      <c r="S26" s="31" t="s">
        <v>33</v>
      </c>
      <c r="T26" s="31" t="s">
        <v>81</v>
      </c>
      <c r="U26" s="18" t="s">
        <v>82</v>
      </c>
    </row>
    <row r="27" spans="1:22" ht="26.25" customHeight="1" thickBot="1" x14ac:dyDescent="0.25">
      <c r="B27" s="32"/>
      <c r="C27" s="33"/>
      <c r="D27" s="33"/>
      <c r="E27" s="33"/>
      <c r="F27" s="33"/>
      <c r="G27" s="33"/>
      <c r="H27" s="34"/>
      <c r="I27" s="34"/>
      <c r="J27" s="34"/>
      <c r="K27" s="34"/>
      <c r="L27" s="34"/>
      <c r="M27" s="34"/>
      <c r="N27" s="34"/>
      <c r="O27" s="34"/>
      <c r="P27" s="34"/>
      <c r="Q27" s="34"/>
      <c r="R27" s="34"/>
      <c r="S27" s="35" t="s">
        <v>83</v>
      </c>
      <c r="T27" s="36" t="s">
        <v>83</v>
      </c>
      <c r="U27" s="36" t="s">
        <v>84</v>
      </c>
    </row>
    <row r="28" spans="1:22" ht="13.5" customHeight="1" thickBot="1" x14ac:dyDescent="0.25">
      <c r="B28" s="92" t="s">
        <v>85</v>
      </c>
      <c r="C28" s="93"/>
      <c r="D28" s="93"/>
      <c r="E28" s="37"/>
      <c r="F28" s="37"/>
      <c r="G28" s="37"/>
      <c r="H28" s="38"/>
      <c r="I28" s="38"/>
      <c r="J28" s="38"/>
      <c r="K28" s="38"/>
      <c r="L28" s="38"/>
      <c r="M28" s="38"/>
      <c r="N28" s="38"/>
      <c r="O28" s="38"/>
      <c r="P28" s="39"/>
      <c r="Q28" s="39"/>
      <c r="R28" s="39"/>
      <c r="S28" s="48">
        <v>747.39754300000004</v>
      </c>
      <c r="T28" s="48">
        <v>733.33575525000003</v>
      </c>
      <c r="U28" s="49">
        <f>+IF(ISERR(T28/S28*100),"N/A",ROUND(T28/S28*100,1))</f>
        <v>98.1</v>
      </c>
    </row>
    <row r="29" spans="1:22" ht="13.5" customHeight="1" thickBot="1" x14ac:dyDescent="0.25">
      <c r="B29" s="94" t="s">
        <v>86</v>
      </c>
      <c r="C29" s="95"/>
      <c r="D29" s="95"/>
      <c r="E29" s="40"/>
      <c r="F29" s="40"/>
      <c r="G29" s="40"/>
      <c r="H29" s="41"/>
      <c r="I29" s="41"/>
      <c r="J29" s="41"/>
      <c r="K29" s="41"/>
      <c r="L29" s="41"/>
      <c r="M29" s="41"/>
      <c r="N29" s="41"/>
      <c r="O29" s="41"/>
      <c r="P29" s="42"/>
      <c r="Q29" s="42"/>
      <c r="R29" s="42"/>
      <c r="S29" s="48">
        <v>733.33575525000003</v>
      </c>
      <c r="T29" s="48">
        <v>733.33575525000003</v>
      </c>
      <c r="U29" s="49">
        <f>+IF(ISERR(T29/S29*100),"N/A",ROUND(T29/S29*100,1))</f>
        <v>100</v>
      </c>
    </row>
    <row r="30" spans="1:22" ht="14.85" customHeight="1" thickTop="1" thickBot="1" x14ac:dyDescent="0.25">
      <c r="B30" s="4" t="s">
        <v>87</v>
      </c>
      <c r="C30" s="5"/>
      <c r="D30" s="5"/>
      <c r="E30" s="5"/>
      <c r="F30" s="5"/>
      <c r="G30" s="5"/>
      <c r="H30" s="6"/>
      <c r="I30" s="6"/>
      <c r="J30" s="6"/>
      <c r="K30" s="6"/>
      <c r="L30" s="6"/>
      <c r="M30" s="6"/>
      <c r="N30" s="6"/>
      <c r="O30" s="6"/>
      <c r="P30" s="6"/>
      <c r="Q30" s="6"/>
      <c r="R30" s="6"/>
      <c r="S30" s="6"/>
      <c r="T30" s="6"/>
      <c r="U30" s="7"/>
    </row>
    <row r="31" spans="1:22" ht="44.25" customHeight="1" thickTop="1" x14ac:dyDescent="0.2">
      <c r="B31" s="89" t="s">
        <v>88</v>
      </c>
      <c r="C31" s="90"/>
      <c r="D31" s="90"/>
      <c r="E31" s="90"/>
      <c r="F31" s="90"/>
      <c r="G31" s="90"/>
      <c r="H31" s="90"/>
      <c r="I31" s="90"/>
      <c r="J31" s="90"/>
      <c r="K31" s="90"/>
      <c r="L31" s="90"/>
      <c r="M31" s="90"/>
      <c r="N31" s="90"/>
      <c r="O31" s="90"/>
      <c r="P31" s="90"/>
      <c r="Q31" s="90"/>
      <c r="R31" s="90"/>
      <c r="S31" s="90"/>
      <c r="T31" s="90"/>
      <c r="U31" s="91"/>
    </row>
    <row r="32" spans="1:22" ht="65.25" customHeight="1" x14ac:dyDescent="0.2">
      <c r="B32" s="96" t="s">
        <v>569</v>
      </c>
      <c r="C32" s="97"/>
      <c r="D32" s="97"/>
      <c r="E32" s="97"/>
      <c r="F32" s="97"/>
      <c r="G32" s="97"/>
      <c r="H32" s="97"/>
      <c r="I32" s="97"/>
      <c r="J32" s="97"/>
      <c r="K32" s="97"/>
      <c r="L32" s="97"/>
      <c r="M32" s="97"/>
      <c r="N32" s="97"/>
      <c r="O32" s="97"/>
      <c r="P32" s="97"/>
      <c r="Q32" s="97"/>
      <c r="R32" s="97"/>
      <c r="S32" s="97"/>
      <c r="T32" s="97"/>
      <c r="U32" s="98"/>
    </row>
    <row r="33" spans="2:21" ht="144.94999999999999" customHeight="1" x14ac:dyDescent="0.2">
      <c r="B33" s="96" t="s">
        <v>570</v>
      </c>
      <c r="C33" s="97"/>
      <c r="D33" s="97"/>
      <c r="E33" s="97"/>
      <c r="F33" s="97"/>
      <c r="G33" s="97"/>
      <c r="H33" s="97"/>
      <c r="I33" s="97"/>
      <c r="J33" s="97"/>
      <c r="K33" s="97"/>
      <c r="L33" s="97"/>
      <c r="M33" s="97"/>
      <c r="N33" s="97"/>
      <c r="O33" s="97"/>
      <c r="P33" s="97"/>
      <c r="Q33" s="97"/>
      <c r="R33" s="97"/>
      <c r="S33" s="97"/>
      <c r="T33" s="97"/>
      <c r="U33" s="98"/>
    </row>
    <row r="34" spans="2:21" ht="65.25" customHeight="1" x14ac:dyDescent="0.2">
      <c r="B34" s="96" t="s">
        <v>571</v>
      </c>
      <c r="C34" s="97"/>
      <c r="D34" s="97"/>
      <c r="E34" s="97"/>
      <c r="F34" s="97"/>
      <c r="G34" s="97"/>
      <c r="H34" s="97"/>
      <c r="I34" s="97"/>
      <c r="J34" s="97"/>
      <c r="K34" s="97"/>
      <c r="L34" s="97"/>
      <c r="M34" s="97"/>
      <c r="N34" s="97"/>
      <c r="O34" s="97"/>
      <c r="P34" s="97"/>
      <c r="Q34" s="97"/>
      <c r="R34" s="97"/>
      <c r="S34" s="97"/>
      <c r="T34" s="97"/>
      <c r="U34" s="98"/>
    </row>
    <row r="35" spans="2:21" ht="65.25" customHeight="1" x14ac:dyDescent="0.2">
      <c r="B35" s="96" t="s">
        <v>572</v>
      </c>
      <c r="C35" s="97"/>
      <c r="D35" s="97"/>
      <c r="E35" s="97"/>
      <c r="F35" s="97"/>
      <c r="G35" s="97"/>
      <c r="H35" s="97"/>
      <c r="I35" s="97"/>
      <c r="J35" s="97"/>
      <c r="K35" s="97"/>
      <c r="L35" s="97"/>
      <c r="M35" s="97"/>
      <c r="N35" s="97"/>
      <c r="O35" s="97"/>
      <c r="P35" s="97"/>
      <c r="Q35" s="97"/>
      <c r="R35" s="97"/>
      <c r="S35" s="97"/>
      <c r="T35" s="97"/>
      <c r="U35" s="98"/>
    </row>
    <row r="36" spans="2:21" ht="76.5" customHeight="1" x14ac:dyDescent="0.2">
      <c r="B36" s="96" t="s">
        <v>573</v>
      </c>
      <c r="C36" s="97"/>
      <c r="D36" s="97"/>
      <c r="E36" s="97"/>
      <c r="F36" s="97"/>
      <c r="G36" s="97"/>
      <c r="H36" s="97"/>
      <c r="I36" s="97"/>
      <c r="J36" s="97"/>
      <c r="K36" s="97"/>
      <c r="L36" s="97"/>
      <c r="M36" s="97"/>
      <c r="N36" s="97"/>
      <c r="O36" s="97"/>
      <c r="P36" s="97"/>
      <c r="Q36" s="97"/>
      <c r="R36" s="97"/>
      <c r="S36" s="97"/>
      <c r="T36" s="97"/>
      <c r="U36" s="98"/>
    </row>
    <row r="37" spans="2:21" ht="54.75" customHeight="1" x14ac:dyDescent="0.2">
      <c r="B37" s="96" t="s">
        <v>574</v>
      </c>
      <c r="C37" s="97"/>
      <c r="D37" s="97"/>
      <c r="E37" s="97"/>
      <c r="F37" s="97"/>
      <c r="G37" s="97"/>
      <c r="H37" s="97"/>
      <c r="I37" s="97"/>
      <c r="J37" s="97"/>
      <c r="K37" s="97"/>
      <c r="L37" s="97"/>
      <c r="M37" s="97"/>
      <c r="N37" s="97"/>
      <c r="O37" s="97"/>
      <c r="P37" s="97"/>
      <c r="Q37" s="97"/>
      <c r="R37" s="97"/>
      <c r="S37" s="97"/>
      <c r="T37" s="97"/>
      <c r="U37" s="98"/>
    </row>
    <row r="38" spans="2:21" ht="65.25" customHeight="1" x14ac:dyDescent="0.2">
      <c r="B38" s="96" t="s">
        <v>575</v>
      </c>
      <c r="C38" s="97"/>
      <c r="D38" s="97"/>
      <c r="E38" s="97"/>
      <c r="F38" s="97"/>
      <c r="G38" s="97"/>
      <c r="H38" s="97"/>
      <c r="I38" s="97"/>
      <c r="J38" s="97"/>
      <c r="K38" s="97"/>
      <c r="L38" s="97"/>
      <c r="M38" s="97"/>
      <c r="N38" s="97"/>
      <c r="O38" s="97"/>
      <c r="P38" s="97"/>
      <c r="Q38" s="97"/>
      <c r="R38" s="97"/>
      <c r="S38" s="97"/>
      <c r="T38" s="97"/>
      <c r="U38" s="98"/>
    </row>
    <row r="39" spans="2:21" ht="54" customHeight="1" x14ac:dyDescent="0.2">
      <c r="B39" s="96" t="s">
        <v>576</v>
      </c>
      <c r="C39" s="97"/>
      <c r="D39" s="97"/>
      <c r="E39" s="97"/>
      <c r="F39" s="97"/>
      <c r="G39" s="97"/>
      <c r="H39" s="97"/>
      <c r="I39" s="97"/>
      <c r="J39" s="97"/>
      <c r="K39" s="97"/>
      <c r="L39" s="97"/>
      <c r="M39" s="97"/>
      <c r="N39" s="97"/>
      <c r="O39" s="97"/>
      <c r="P39" s="97"/>
      <c r="Q39" s="97"/>
      <c r="R39" s="97"/>
      <c r="S39" s="97"/>
      <c r="T39" s="97"/>
      <c r="U39" s="98"/>
    </row>
    <row r="40" spans="2:21" ht="75.75" customHeight="1" x14ac:dyDescent="0.2">
      <c r="B40" s="96" t="s">
        <v>577</v>
      </c>
      <c r="C40" s="97"/>
      <c r="D40" s="97"/>
      <c r="E40" s="97"/>
      <c r="F40" s="97"/>
      <c r="G40" s="97"/>
      <c r="H40" s="97"/>
      <c r="I40" s="97"/>
      <c r="J40" s="97"/>
      <c r="K40" s="97"/>
      <c r="L40" s="97"/>
      <c r="M40" s="97"/>
      <c r="N40" s="97"/>
      <c r="O40" s="97"/>
      <c r="P40" s="97"/>
      <c r="Q40" s="97"/>
      <c r="R40" s="97"/>
      <c r="S40" s="97"/>
      <c r="T40" s="97"/>
      <c r="U40" s="98"/>
    </row>
    <row r="41" spans="2:21" ht="65.25" customHeight="1" x14ac:dyDescent="0.2">
      <c r="B41" s="96" t="s">
        <v>578</v>
      </c>
      <c r="C41" s="97"/>
      <c r="D41" s="97"/>
      <c r="E41" s="97"/>
      <c r="F41" s="97"/>
      <c r="G41" s="97"/>
      <c r="H41" s="97"/>
      <c r="I41" s="97"/>
      <c r="J41" s="97"/>
      <c r="K41" s="97"/>
      <c r="L41" s="97"/>
      <c r="M41" s="97"/>
      <c r="N41" s="97"/>
      <c r="O41" s="97"/>
      <c r="P41" s="97"/>
      <c r="Q41" s="97"/>
      <c r="R41" s="97"/>
      <c r="S41" s="97"/>
      <c r="T41" s="97"/>
      <c r="U41" s="98"/>
    </row>
    <row r="42" spans="2:21" ht="78.75" customHeight="1" x14ac:dyDescent="0.2">
      <c r="B42" s="96" t="s">
        <v>579</v>
      </c>
      <c r="C42" s="97"/>
      <c r="D42" s="97"/>
      <c r="E42" s="97"/>
      <c r="F42" s="97"/>
      <c r="G42" s="97"/>
      <c r="H42" s="97"/>
      <c r="I42" s="97"/>
      <c r="J42" s="97"/>
      <c r="K42" s="97"/>
      <c r="L42" s="97"/>
      <c r="M42" s="97"/>
      <c r="N42" s="97"/>
      <c r="O42" s="97"/>
      <c r="P42" s="97"/>
      <c r="Q42" s="97"/>
      <c r="R42" s="97"/>
      <c r="S42" s="97"/>
      <c r="T42" s="97"/>
      <c r="U42" s="98"/>
    </row>
    <row r="43" spans="2:21" ht="53.25" customHeight="1" x14ac:dyDescent="0.2">
      <c r="B43" s="96" t="s">
        <v>580</v>
      </c>
      <c r="C43" s="97"/>
      <c r="D43" s="97"/>
      <c r="E43" s="97"/>
      <c r="F43" s="97"/>
      <c r="G43" s="97"/>
      <c r="H43" s="97"/>
      <c r="I43" s="97"/>
      <c r="J43" s="97"/>
      <c r="K43" s="97"/>
      <c r="L43" s="97"/>
      <c r="M43" s="97"/>
      <c r="N43" s="97"/>
      <c r="O43" s="97"/>
      <c r="P43" s="97"/>
      <c r="Q43" s="97"/>
      <c r="R43" s="97"/>
      <c r="S43" s="97"/>
      <c r="T43" s="97"/>
      <c r="U43" s="98"/>
    </row>
    <row r="44" spans="2:21" ht="79.5" customHeight="1" x14ac:dyDescent="0.2">
      <c r="B44" s="96" t="s">
        <v>581</v>
      </c>
      <c r="C44" s="97"/>
      <c r="D44" s="97"/>
      <c r="E44" s="97"/>
      <c r="F44" s="97"/>
      <c r="G44" s="97"/>
      <c r="H44" s="97"/>
      <c r="I44" s="97"/>
      <c r="J44" s="97"/>
      <c r="K44" s="97"/>
      <c r="L44" s="97"/>
      <c r="M44" s="97"/>
      <c r="N44" s="97"/>
      <c r="O44" s="97"/>
      <c r="P44" s="97"/>
      <c r="Q44" s="97"/>
      <c r="R44" s="97"/>
      <c r="S44" s="97"/>
      <c r="T44" s="97"/>
      <c r="U44" s="98"/>
    </row>
    <row r="45" spans="2:21" ht="65.25" customHeight="1" thickBot="1" x14ac:dyDescent="0.25">
      <c r="B45" s="99" t="s">
        <v>582</v>
      </c>
      <c r="C45" s="100"/>
      <c r="D45" s="100"/>
      <c r="E45" s="100"/>
      <c r="F45" s="100"/>
      <c r="G45" s="100"/>
      <c r="H45" s="100"/>
      <c r="I45" s="100"/>
      <c r="J45" s="100"/>
      <c r="K45" s="100"/>
      <c r="L45" s="100"/>
      <c r="M45" s="100"/>
      <c r="N45" s="100"/>
      <c r="O45" s="100"/>
      <c r="P45" s="100"/>
      <c r="Q45" s="100"/>
      <c r="R45" s="100"/>
      <c r="S45" s="100"/>
      <c r="T45" s="100"/>
      <c r="U45" s="101"/>
    </row>
  </sheetData>
  <mergeCells count="80">
    <mergeCell ref="B44:U44"/>
    <mergeCell ref="B45:U45"/>
    <mergeCell ref="B38:U38"/>
    <mergeCell ref="B39:U39"/>
    <mergeCell ref="B40:U40"/>
    <mergeCell ref="B41:U41"/>
    <mergeCell ref="B42:U42"/>
    <mergeCell ref="B43:U43"/>
    <mergeCell ref="B37:U37"/>
    <mergeCell ref="C24:H24"/>
    <mergeCell ref="I24:K24"/>
    <mergeCell ref="L24:O24"/>
    <mergeCell ref="B28:D28"/>
    <mergeCell ref="B29:D29"/>
    <mergeCell ref="B31:U31"/>
    <mergeCell ref="B32:U32"/>
    <mergeCell ref="B33:U33"/>
    <mergeCell ref="B34:U34"/>
    <mergeCell ref="B35:U35"/>
    <mergeCell ref="B36:U36"/>
    <mergeCell ref="C22:H22"/>
    <mergeCell ref="I22:K22"/>
    <mergeCell ref="L22:O22"/>
    <mergeCell ref="C23:H23"/>
    <mergeCell ref="I23:K23"/>
    <mergeCell ref="L23:O23"/>
    <mergeCell ref="C20:H20"/>
    <mergeCell ref="I20:K20"/>
    <mergeCell ref="L20:O20"/>
    <mergeCell ref="C21:H21"/>
    <mergeCell ref="I21:K21"/>
    <mergeCell ref="L21:O21"/>
    <mergeCell ref="C18:H18"/>
    <mergeCell ref="I18:K18"/>
    <mergeCell ref="L18:O18"/>
    <mergeCell ref="C19:H19"/>
    <mergeCell ref="I19:K19"/>
    <mergeCell ref="L19:O19"/>
    <mergeCell ref="C16:H16"/>
    <mergeCell ref="I16:K16"/>
    <mergeCell ref="L16:O16"/>
    <mergeCell ref="C17:H17"/>
    <mergeCell ref="I17:K17"/>
    <mergeCell ref="L17:O17"/>
    <mergeCell ref="C14:H14"/>
    <mergeCell ref="I14:K14"/>
    <mergeCell ref="L14:O14"/>
    <mergeCell ref="C15:H15"/>
    <mergeCell ref="I15:K15"/>
    <mergeCell ref="L15:O15"/>
    <mergeCell ref="C12:H12"/>
    <mergeCell ref="I12:K12"/>
    <mergeCell ref="L12:O12"/>
    <mergeCell ref="C13:H13"/>
    <mergeCell ref="I13:K13"/>
    <mergeCell ref="L13:O13"/>
    <mergeCell ref="C11:H11"/>
    <mergeCell ref="I11:K11"/>
    <mergeCell ref="L11:O11"/>
    <mergeCell ref="C6:G6"/>
    <mergeCell ref="K6:M6"/>
    <mergeCell ref="P6:Q6"/>
    <mergeCell ref="T6:U6"/>
    <mergeCell ref="B8:B10"/>
    <mergeCell ref="C8:H10"/>
    <mergeCell ref="I8:S8"/>
    <mergeCell ref="T8:U8"/>
    <mergeCell ref="I9:K10"/>
    <mergeCell ref="L9:O10"/>
    <mergeCell ref="P9:P10"/>
    <mergeCell ref="Q9:Q10"/>
    <mergeCell ref="R9:S9"/>
    <mergeCell ref="T9:T10"/>
    <mergeCell ref="U9:U10"/>
    <mergeCell ref="B5:U5"/>
    <mergeCell ref="B1:L1"/>
    <mergeCell ref="D4:H4"/>
    <mergeCell ref="L4:O4"/>
    <mergeCell ref="Q4:R4"/>
    <mergeCell ref="T4:U4"/>
  </mergeCells>
  <printOptions horizontalCentered="1"/>
  <pageMargins left="0.78740157480314965" right="0.78740157480314965" top="0.98425196850393704" bottom="0.98425196850393704" header="0" footer="0.39370078740157483"/>
  <pageSetup scale="60" fitToHeight="10" orientation="landscape" r:id="rId1"/>
  <headerFooter>
    <oddFooter>&amp;R&amp;P de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29"/>
  <sheetViews>
    <sheetView view="pageBreakPreview" topLeftCell="G7" zoomScale="80" zoomScaleNormal="80" zoomScaleSheetLayoutView="80" workbookViewId="0">
      <selection activeCell="R12" sqref="R12:U12"/>
    </sheetView>
  </sheetViews>
  <sheetFormatPr baseColWidth="10" defaultColWidth="10" defaultRowHeight="12.75" x14ac:dyDescent="0.2"/>
  <cols>
    <col min="1" max="1" width="3.5" style="1" customWidth="1"/>
    <col min="2" max="2" width="14.7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9.625" style="1" customWidth="1"/>
    <col min="19" max="19" width="13" style="1" customWidth="1"/>
    <col min="20" max="20" width="10.75" style="1" customWidth="1"/>
    <col min="21" max="21" width="11.37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50" t="s">
        <v>0</v>
      </c>
      <c r="C1" s="50"/>
      <c r="D1" s="50"/>
      <c r="E1" s="50"/>
      <c r="F1" s="50"/>
      <c r="G1" s="50"/>
      <c r="H1" s="50"/>
      <c r="I1" s="50"/>
      <c r="J1" s="50"/>
      <c r="K1" s="50"/>
      <c r="L1" s="50"/>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51.75" customHeight="1" thickTop="1" x14ac:dyDescent="0.2">
      <c r="B4" s="8" t="s">
        <v>6</v>
      </c>
      <c r="C4" s="9" t="s">
        <v>583</v>
      </c>
      <c r="D4" s="57" t="s">
        <v>584</v>
      </c>
      <c r="E4" s="57"/>
      <c r="F4" s="57"/>
      <c r="G4" s="57"/>
      <c r="H4" s="57"/>
      <c r="I4" s="10"/>
      <c r="J4" s="11" t="s">
        <v>9</v>
      </c>
      <c r="K4" s="12" t="s">
        <v>10</v>
      </c>
      <c r="L4" s="58" t="s">
        <v>11</v>
      </c>
      <c r="M4" s="58"/>
      <c r="N4" s="58"/>
      <c r="O4" s="58"/>
      <c r="P4" s="11" t="s">
        <v>12</v>
      </c>
      <c r="Q4" s="58" t="s">
        <v>585</v>
      </c>
      <c r="R4" s="58"/>
      <c r="S4" s="11" t="s">
        <v>14</v>
      </c>
      <c r="T4" s="58" t="s">
        <v>465</v>
      </c>
      <c r="U4" s="59"/>
    </row>
    <row r="5" spans="1:21" ht="15.75" customHeight="1" x14ac:dyDescent="0.2">
      <c r="B5" s="54" t="s">
        <v>15</v>
      </c>
      <c r="C5" s="55"/>
      <c r="D5" s="55"/>
      <c r="E5" s="55"/>
      <c r="F5" s="55"/>
      <c r="G5" s="55"/>
      <c r="H5" s="55"/>
      <c r="I5" s="55"/>
      <c r="J5" s="55"/>
      <c r="K5" s="55"/>
      <c r="L5" s="55"/>
      <c r="M5" s="55"/>
      <c r="N5" s="55"/>
      <c r="O5" s="55"/>
      <c r="P5" s="55"/>
      <c r="Q5" s="55"/>
      <c r="R5" s="55"/>
      <c r="S5" s="55"/>
      <c r="T5" s="55"/>
      <c r="U5" s="56"/>
    </row>
    <row r="6" spans="1:21" ht="37.5" customHeight="1" thickBot="1" x14ac:dyDescent="0.25">
      <c r="B6" s="13" t="s">
        <v>16</v>
      </c>
      <c r="C6" s="60" t="s">
        <v>17</v>
      </c>
      <c r="D6" s="60"/>
      <c r="E6" s="60"/>
      <c r="F6" s="60"/>
      <c r="G6" s="60"/>
      <c r="H6" s="14"/>
      <c r="I6" s="14"/>
      <c r="J6" s="14" t="s">
        <v>18</v>
      </c>
      <c r="K6" s="60" t="s">
        <v>19</v>
      </c>
      <c r="L6" s="60"/>
      <c r="M6" s="60"/>
      <c r="N6" s="15"/>
      <c r="O6" s="16" t="s">
        <v>20</v>
      </c>
      <c r="P6" s="60" t="s">
        <v>524</v>
      </c>
      <c r="Q6" s="60"/>
      <c r="R6" s="17"/>
      <c r="S6" s="16" t="s">
        <v>22</v>
      </c>
      <c r="T6" s="60" t="s">
        <v>586</v>
      </c>
      <c r="U6" s="61"/>
    </row>
    <row r="7" spans="1:21" ht="14.25" customHeight="1" thickTop="1" thickBot="1" x14ac:dyDescent="0.25">
      <c r="B7" s="4" t="s">
        <v>24</v>
      </c>
      <c r="C7" s="5"/>
      <c r="D7" s="5"/>
      <c r="E7" s="5"/>
      <c r="F7" s="5"/>
      <c r="G7" s="5"/>
      <c r="H7" s="6"/>
      <c r="I7" s="6"/>
      <c r="J7" s="6"/>
      <c r="K7" s="6"/>
      <c r="L7" s="6"/>
      <c r="M7" s="6"/>
      <c r="N7" s="6"/>
      <c r="O7" s="6"/>
      <c r="P7" s="6"/>
      <c r="Q7" s="6"/>
      <c r="R7" s="6"/>
      <c r="S7" s="6"/>
      <c r="T7" s="6"/>
      <c r="U7" s="7"/>
    </row>
    <row r="8" spans="1:21" ht="16.5" customHeight="1" thickTop="1" x14ac:dyDescent="0.2">
      <c r="B8" s="62" t="s">
        <v>25</v>
      </c>
      <c r="C8" s="65" t="s">
        <v>26</v>
      </c>
      <c r="D8" s="66"/>
      <c r="E8" s="66"/>
      <c r="F8" s="66"/>
      <c r="G8" s="66"/>
      <c r="H8" s="67"/>
      <c r="I8" s="74" t="s">
        <v>27</v>
      </c>
      <c r="J8" s="75"/>
      <c r="K8" s="75"/>
      <c r="L8" s="75"/>
      <c r="M8" s="75"/>
      <c r="N8" s="75"/>
      <c r="O8" s="75"/>
      <c r="P8" s="75"/>
      <c r="Q8" s="75"/>
      <c r="R8" s="75"/>
      <c r="S8" s="76"/>
      <c r="T8" s="77" t="s">
        <v>28</v>
      </c>
      <c r="U8" s="78"/>
    </row>
    <row r="9" spans="1:21" ht="19.5" customHeight="1" x14ac:dyDescent="0.2">
      <c r="B9" s="63"/>
      <c r="C9" s="68"/>
      <c r="D9" s="69"/>
      <c r="E9" s="69"/>
      <c r="F9" s="69"/>
      <c r="G9" s="69"/>
      <c r="H9" s="70"/>
      <c r="I9" s="79" t="s">
        <v>29</v>
      </c>
      <c r="J9" s="80"/>
      <c r="K9" s="80"/>
      <c r="L9" s="80" t="s">
        <v>30</v>
      </c>
      <c r="M9" s="80"/>
      <c r="N9" s="80"/>
      <c r="O9" s="80"/>
      <c r="P9" s="80" t="s">
        <v>31</v>
      </c>
      <c r="Q9" s="80" t="s">
        <v>32</v>
      </c>
      <c r="R9" s="83" t="s">
        <v>33</v>
      </c>
      <c r="S9" s="84"/>
      <c r="T9" s="80" t="s">
        <v>34</v>
      </c>
      <c r="U9" s="85" t="s">
        <v>35</v>
      </c>
    </row>
    <row r="10" spans="1:21" ht="26.25" customHeight="1" thickBot="1" x14ac:dyDescent="0.25">
      <c r="B10" s="64"/>
      <c r="C10" s="71"/>
      <c r="D10" s="72"/>
      <c r="E10" s="72"/>
      <c r="F10" s="72"/>
      <c r="G10" s="72"/>
      <c r="H10" s="73"/>
      <c r="I10" s="81"/>
      <c r="J10" s="82"/>
      <c r="K10" s="82"/>
      <c r="L10" s="82"/>
      <c r="M10" s="82"/>
      <c r="N10" s="82"/>
      <c r="O10" s="82"/>
      <c r="P10" s="82"/>
      <c r="Q10" s="82"/>
      <c r="R10" s="19" t="s">
        <v>36</v>
      </c>
      <c r="S10" s="20" t="s">
        <v>37</v>
      </c>
      <c r="T10" s="82"/>
      <c r="U10" s="86"/>
    </row>
    <row r="11" spans="1:21" ht="154.5" customHeight="1" thickTop="1" thickBot="1" x14ac:dyDescent="0.25">
      <c r="A11" s="21"/>
      <c r="B11" s="22" t="s">
        <v>38</v>
      </c>
      <c r="C11" s="87" t="s">
        <v>587</v>
      </c>
      <c r="D11" s="87"/>
      <c r="E11" s="87"/>
      <c r="F11" s="87"/>
      <c r="G11" s="87"/>
      <c r="H11" s="87"/>
      <c r="I11" s="87" t="s">
        <v>588</v>
      </c>
      <c r="J11" s="87"/>
      <c r="K11" s="87"/>
      <c r="L11" s="87" t="s">
        <v>589</v>
      </c>
      <c r="M11" s="87"/>
      <c r="N11" s="87"/>
      <c r="O11" s="87"/>
      <c r="P11" s="23" t="s">
        <v>290</v>
      </c>
      <c r="Q11" s="23" t="s">
        <v>43</v>
      </c>
      <c r="R11" s="23">
        <v>0.8</v>
      </c>
      <c r="S11" s="23">
        <v>89.2</v>
      </c>
      <c r="T11" s="23">
        <v>89.2</v>
      </c>
      <c r="U11" s="45">
        <f>100</f>
        <v>100</v>
      </c>
    </row>
    <row r="12" spans="1:21" ht="130.5" customHeight="1" thickTop="1" thickBot="1" x14ac:dyDescent="0.25">
      <c r="A12" s="21"/>
      <c r="B12" s="22" t="s">
        <v>44</v>
      </c>
      <c r="C12" s="87" t="s">
        <v>590</v>
      </c>
      <c r="D12" s="87"/>
      <c r="E12" s="87"/>
      <c r="F12" s="87"/>
      <c r="G12" s="87"/>
      <c r="H12" s="87"/>
      <c r="I12" s="87" t="s">
        <v>591</v>
      </c>
      <c r="J12" s="87"/>
      <c r="K12" s="87"/>
      <c r="L12" s="87" t="s">
        <v>592</v>
      </c>
      <c r="M12" s="87"/>
      <c r="N12" s="87"/>
      <c r="O12" s="87"/>
      <c r="P12" s="23" t="s">
        <v>48</v>
      </c>
      <c r="Q12" s="23" t="s">
        <v>43</v>
      </c>
      <c r="R12" s="23">
        <v>49.88</v>
      </c>
      <c r="S12" s="23">
        <v>49.88</v>
      </c>
      <c r="T12" s="23">
        <v>55.27</v>
      </c>
      <c r="U12" s="45">
        <v>110.8</v>
      </c>
    </row>
    <row r="13" spans="1:21" ht="75" customHeight="1" thickTop="1" x14ac:dyDescent="0.2">
      <c r="A13" s="21"/>
      <c r="B13" s="22" t="s">
        <v>50</v>
      </c>
      <c r="C13" s="87" t="s">
        <v>593</v>
      </c>
      <c r="D13" s="87"/>
      <c r="E13" s="87"/>
      <c r="F13" s="87"/>
      <c r="G13" s="87"/>
      <c r="H13" s="87"/>
      <c r="I13" s="87" t="s">
        <v>594</v>
      </c>
      <c r="J13" s="87"/>
      <c r="K13" s="87"/>
      <c r="L13" s="87" t="s">
        <v>595</v>
      </c>
      <c r="M13" s="87"/>
      <c r="N13" s="87"/>
      <c r="O13" s="87"/>
      <c r="P13" s="23" t="s">
        <v>48</v>
      </c>
      <c r="Q13" s="23" t="s">
        <v>43</v>
      </c>
      <c r="R13" s="23">
        <v>56</v>
      </c>
      <c r="S13" s="23">
        <v>56</v>
      </c>
      <c r="T13" s="23">
        <v>55.8</v>
      </c>
      <c r="U13" s="45">
        <f>99.6</f>
        <v>99.6</v>
      </c>
    </row>
    <row r="14" spans="1:21" ht="75" customHeight="1" thickBot="1" x14ac:dyDescent="0.25">
      <c r="A14" s="21"/>
      <c r="B14" s="24" t="s">
        <v>55</v>
      </c>
      <c r="C14" s="88" t="s">
        <v>55</v>
      </c>
      <c r="D14" s="88"/>
      <c r="E14" s="88"/>
      <c r="F14" s="88"/>
      <c r="G14" s="88"/>
      <c r="H14" s="88"/>
      <c r="I14" s="88" t="s">
        <v>596</v>
      </c>
      <c r="J14" s="88"/>
      <c r="K14" s="88"/>
      <c r="L14" s="88" t="s">
        <v>597</v>
      </c>
      <c r="M14" s="88"/>
      <c r="N14" s="88"/>
      <c r="O14" s="88"/>
      <c r="P14" s="25" t="s">
        <v>198</v>
      </c>
      <c r="Q14" s="25" t="s">
        <v>43</v>
      </c>
      <c r="R14" s="25">
        <v>4.5999999999999996</v>
      </c>
      <c r="S14" s="25">
        <v>4.5999999999999996</v>
      </c>
      <c r="T14" s="25">
        <v>5</v>
      </c>
      <c r="U14" s="46">
        <f>108.7</f>
        <v>108.7</v>
      </c>
    </row>
    <row r="15" spans="1:21" ht="90.75" customHeight="1" thickTop="1" x14ac:dyDescent="0.2">
      <c r="A15" s="21"/>
      <c r="B15" s="22" t="s">
        <v>61</v>
      </c>
      <c r="C15" s="87" t="s">
        <v>598</v>
      </c>
      <c r="D15" s="87"/>
      <c r="E15" s="87"/>
      <c r="F15" s="87"/>
      <c r="G15" s="87"/>
      <c r="H15" s="87"/>
      <c r="I15" s="87" t="s">
        <v>599</v>
      </c>
      <c r="J15" s="87"/>
      <c r="K15" s="87"/>
      <c r="L15" s="87" t="s">
        <v>600</v>
      </c>
      <c r="M15" s="87"/>
      <c r="N15" s="87"/>
      <c r="O15" s="87"/>
      <c r="P15" s="23" t="s">
        <v>48</v>
      </c>
      <c r="Q15" s="23" t="s">
        <v>71</v>
      </c>
      <c r="R15" s="23">
        <v>89.74</v>
      </c>
      <c r="S15" s="23">
        <v>89.74</v>
      </c>
      <c r="T15" s="23">
        <v>100</v>
      </c>
      <c r="U15" s="45">
        <f>111.4</f>
        <v>111.4</v>
      </c>
    </row>
    <row r="16" spans="1:21" ht="75" customHeight="1" thickBot="1" x14ac:dyDescent="0.25">
      <c r="A16" s="21"/>
      <c r="B16" s="24" t="s">
        <v>55</v>
      </c>
      <c r="C16" s="88" t="s">
        <v>601</v>
      </c>
      <c r="D16" s="88"/>
      <c r="E16" s="88"/>
      <c r="F16" s="88"/>
      <c r="G16" s="88"/>
      <c r="H16" s="88"/>
      <c r="I16" s="88" t="s">
        <v>602</v>
      </c>
      <c r="J16" s="88"/>
      <c r="K16" s="88"/>
      <c r="L16" s="88" t="s">
        <v>603</v>
      </c>
      <c r="M16" s="88"/>
      <c r="N16" s="88"/>
      <c r="O16" s="88"/>
      <c r="P16" s="25" t="s">
        <v>48</v>
      </c>
      <c r="Q16" s="25" t="s">
        <v>71</v>
      </c>
      <c r="R16" s="25">
        <v>89.74</v>
      </c>
      <c r="S16" s="25">
        <v>89.74</v>
      </c>
      <c r="T16" s="25">
        <v>100</v>
      </c>
      <c r="U16" s="46">
        <f>111.4</f>
        <v>111.4</v>
      </c>
    </row>
    <row r="17" spans="2:22" ht="14.25" customHeight="1" thickTop="1" thickBot="1" x14ac:dyDescent="0.25">
      <c r="B17" s="4" t="s">
        <v>80</v>
      </c>
      <c r="C17" s="5"/>
      <c r="D17" s="5"/>
      <c r="E17" s="5"/>
      <c r="F17" s="5"/>
      <c r="G17" s="5"/>
      <c r="H17" s="6"/>
      <c r="I17" s="6"/>
      <c r="J17" s="6"/>
      <c r="K17" s="6"/>
      <c r="L17" s="6"/>
      <c r="M17" s="6"/>
      <c r="N17" s="6"/>
      <c r="O17" s="6"/>
      <c r="P17" s="6"/>
      <c r="Q17" s="6"/>
      <c r="R17" s="6"/>
      <c r="S17" s="6"/>
      <c r="T17" s="6"/>
      <c r="U17" s="7"/>
      <c r="V17" s="26"/>
    </row>
    <row r="18" spans="2:22" ht="26.25" customHeight="1" thickTop="1" x14ac:dyDescent="0.2">
      <c r="B18" s="27"/>
      <c r="C18" s="28"/>
      <c r="D18" s="28"/>
      <c r="E18" s="28"/>
      <c r="F18" s="28"/>
      <c r="G18" s="28"/>
      <c r="H18" s="29"/>
      <c r="I18" s="29"/>
      <c r="J18" s="29"/>
      <c r="K18" s="29"/>
      <c r="L18" s="29"/>
      <c r="M18" s="29"/>
      <c r="N18" s="29"/>
      <c r="O18" s="29"/>
      <c r="P18" s="29"/>
      <c r="Q18" s="29"/>
      <c r="R18" s="30"/>
      <c r="S18" s="31" t="s">
        <v>33</v>
      </c>
      <c r="T18" s="31" t="s">
        <v>81</v>
      </c>
      <c r="U18" s="18" t="s">
        <v>82</v>
      </c>
    </row>
    <row r="19" spans="2:22" ht="26.25" customHeight="1" thickBot="1" x14ac:dyDescent="0.25">
      <c r="B19" s="32"/>
      <c r="C19" s="33"/>
      <c r="D19" s="33"/>
      <c r="E19" s="33"/>
      <c r="F19" s="33"/>
      <c r="G19" s="33"/>
      <c r="H19" s="34"/>
      <c r="I19" s="34"/>
      <c r="J19" s="34"/>
      <c r="K19" s="34"/>
      <c r="L19" s="34"/>
      <c r="M19" s="34"/>
      <c r="N19" s="34"/>
      <c r="O19" s="34"/>
      <c r="P19" s="34"/>
      <c r="Q19" s="34"/>
      <c r="R19" s="34"/>
      <c r="S19" s="35" t="s">
        <v>83</v>
      </c>
      <c r="T19" s="36" t="s">
        <v>83</v>
      </c>
      <c r="U19" s="36" t="s">
        <v>84</v>
      </c>
    </row>
    <row r="20" spans="2:22" ht="13.5" customHeight="1" thickBot="1" x14ac:dyDescent="0.25">
      <c r="B20" s="92" t="s">
        <v>85</v>
      </c>
      <c r="C20" s="93"/>
      <c r="D20" s="93"/>
      <c r="E20" s="37"/>
      <c r="F20" s="37"/>
      <c r="G20" s="37"/>
      <c r="H20" s="38"/>
      <c r="I20" s="38"/>
      <c r="J20" s="38"/>
      <c r="K20" s="38"/>
      <c r="L20" s="38"/>
      <c r="M20" s="38"/>
      <c r="N20" s="38"/>
      <c r="O20" s="38"/>
      <c r="P20" s="39"/>
      <c r="Q20" s="39"/>
      <c r="R20" s="39"/>
      <c r="S20" s="48">
        <v>3250.4135419999998</v>
      </c>
      <c r="T20" s="48">
        <v>2545.9413350700002</v>
      </c>
      <c r="U20" s="49">
        <f>+IF(ISERR(T20/S20*100),"N/A",ROUND(T20/S20*100,1))</f>
        <v>78.3</v>
      </c>
    </row>
    <row r="21" spans="2:22" ht="13.5" customHeight="1" thickBot="1" x14ac:dyDescent="0.25">
      <c r="B21" s="94" t="s">
        <v>86</v>
      </c>
      <c r="C21" s="95"/>
      <c r="D21" s="95"/>
      <c r="E21" s="40"/>
      <c r="F21" s="40"/>
      <c r="G21" s="40"/>
      <c r="H21" s="41"/>
      <c r="I21" s="41"/>
      <c r="J21" s="41"/>
      <c r="K21" s="41"/>
      <c r="L21" s="41"/>
      <c r="M21" s="41"/>
      <c r="N21" s="41"/>
      <c r="O21" s="41"/>
      <c r="P21" s="42"/>
      <c r="Q21" s="42"/>
      <c r="R21" s="42"/>
      <c r="S21" s="48">
        <v>2545.9417180700002</v>
      </c>
      <c r="T21" s="48">
        <v>2545.9413350700002</v>
      </c>
      <c r="U21" s="49">
        <f>+IF(ISERR(T21/S21*100),"N/A",ROUND(T21/S21*100,1))</f>
        <v>100</v>
      </c>
    </row>
    <row r="22" spans="2:22" ht="14.85" customHeight="1" thickTop="1" thickBot="1" x14ac:dyDescent="0.25">
      <c r="B22" s="4" t="s">
        <v>87</v>
      </c>
      <c r="C22" s="5"/>
      <c r="D22" s="5"/>
      <c r="E22" s="5"/>
      <c r="F22" s="5"/>
      <c r="G22" s="5"/>
      <c r="H22" s="6"/>
      <c r="I22" s="6"/>
      <c r="J22" s="6"/>
      <c r="K22" s="6"/>
      <c r="L22" s="6"/>
      <c r="M22" s="6"/>
      <c r="N22" s="6"/>
      <c r="O22" s="6"/>
      <c r="P22" s="6"/>
      <c r="Q22" s="6"/>
      <c r="R22" s="6"/>
      <c r="S22" s="6"/>
      <c r="T22" s="6"/>
      <c r="U22" s="7"/>
    </row>
    <row r="23" spans="2:22" ht="44.25" customHeight="1" thickTop="1" x14ac:dyDescent="0.2">
      <c r="B23" s="89" t="s">
        <v>88</v>
      </c>
      <c r="C23" s="90"/>
      <c r="D23" s="90"/>
      <c r="E23" s="90"/>
      <c r="F23" s="90"/>
      <c r="G23" s="90"/>
      <c r="H23" s="90"/>
      <c r="I23" s="90"/>
      <c r="J23" s="90"/>
      <c r="K23" s="90"/>
      <c r="L23" s="90"/>
      <c r="M23" s="90"/>
      <c r="N23" s="90"/>
      <c r="O23" s="90"/>
      <c r="P23" s="90"/>
      <c r="Q23" s="90"/>
      <c r="R23" s="90"/>
      <c r="S23" s="90"/>
      <c r="T23" s="90"/>
      <c r="U23" s="91"/>
    </row>
    <row r="24" spans="2:22" ht="50.25" customHeight="1" x14ac:dyDescent="0.2">
      <c r="B24" s="96" t="s">
        <v>604</v>
      </c>
      <c r="C24" s="97"/>
      <c r="D24" s="97"/>
      <c r="E24" s="97"/>
      <c r="F24" s="97"/>
      <c r="G24" s="97"/>
      <c r="H24" s="97"/>
      <c r="I24" s="97"/>
      <c r="J24" s="97"/>
      <c r="K24" s="97"/>
      <c r="L24" s="97"/>
      <c r="M24" s="97"/>
      <c r="N24" s="97"/>
      <c r="O24" s="97"/>
      <c r="P24" s="97"/>
      <c r="Q24" s="97"/>
      <c r="R24" s="97"/>
      <c r="S24" s="97"/>
      <c r="T24" s="97"/>
      <c r="U24" s="98"/>
    </row>
    <row r="25" spans="2:22" ht="121.35" customHeight="1" x14ac:dyDescent="0.2">
      <c r="B25" s="96" t="s">
        <v>605</v>
      </c>
      <c r="C25" s="97"/>
      <c r="D25" s="97"/>
      <c r="E25" s="97"/>
      <c r="F25" s="97"/>
      <c r="G25" s="97"/>
      <c r="H25" s="97"/>
      <c r="I25" s="97"/>
      <c r="J25" s="97"/>
      <c r="K25" s="97"/>
      <c r="L25" s="97"/>
      <c r="M25" s="97"/>
      <c r="N25" s="97"/>
      <c r="O25" s="97"/>
      <c r="P25" s="97"/>
      <c r="Q25" s="97"/>
      <c r="R25" s="97"/>
      <c r="S25" s="97"/>
      <c r="T25" s="97"/>
      <c r="U25" s="98"/>
    </row>
    <row r="26" spans="2:22" ht="66.75" customHeight="1" x14ac:dyDescent="0.2">
      <c r="B26" s="96" t="s">
        <v>606</v>
      </c>
      <c r="C26" s="97"/>
      <c r="D26" s="97"/>
      <c r="E26" s="97"/>
      <c r="F26" s="97"/>
      <c r="G26" s="97"/>
      <c r="H26" s="97"/>
      <c r="I26" s="97"/>
      <c r="J26" s="97"/>
      <c r="K26" s="97"/>
      <c r="L26" s="97"/>
      <c r="M26" s="97"/>
      <c r="N26" s="97"/>
      <c r="O26" s="97"/>
      <c r="P26" s="97"/>
      <c r="Q26" s="97"/>
      <c r="R26" s="97"/>
      <c r="S26" s="97"/>
      <c r="T26" s="97"/>
      <c r="U26" s="98"/>
    </row>
    <row r="27" spans="2:22" ht="52.5" customHeight="1" x14ac:dyDescent="0.2">
      <c r="B27" s="96" t="s">
        <v>607</v>
      </c>
      <c r="C27" s="97"/>
      <c r="D27" s="97"/>
      <c r="E27" s="97"/>
      <c r="F27" s="97"/>
      <c r="G27" s="97"/>
      <c r="H27" s="97"/>
      <c r="I27" s="97"/>
      <c r="J27" s="97"/>
      <c r="K27" s="97"/>
      <c r="L27" s="97"/>
      <c r="M27" s="97"/>
      <c r="N27" s="97"/>
      <c r="O27" s="97"/>
      <c r="P27" s="97"/>
      <c r="Q27" s="97"/>
      <c r="R27" s="97"/>
      <c r="S27" s="97"/>
      <c r="T27" s="97"/>
      <c r="U27" s="98"/>
    </row>
    <row r="28" spans="2:22" ht="54.75" customHeight="1" x14ac:dyDescent="0.2">
      <c r="B28" s="96" t="s">
        <v>608</v>
      </c>
      <c r="C28" s="97"/>
      <c r="D28" s="97"/>
      <c r="E28" s="97"/>
      <c r="F28" s="97"/>
      <c r="G28" s="97"/>
      <c r="H28" s="97"/>
      <c r="I28" s="97"/>
      <c r="J28" s="97"/>
      <c r="K28" s="97"/>
      <c r="L28" s="97"/>
      <c r="M28" s="97"/>
      <c r="N28" s="97"/>
      <c r="O28" s="97"/>
      <c r="P28" s="97"/>
      <c r="Q28" s="97"/>
      <c r="R28" s="97"/>
      <c r="S28" s="97"/>
      <c r="T28" s="97"/>
      <c r="U28" s="98"/>
    </row>
    <row r="29" spans="2:22" ht="53.25" customHeight="1" thickBot="1" x14ac:dyDescent="0.25">
      <c r="B29" s="99" t="s">
        <v>609</v>
      </c>
      <c r="C29" s="100"/>
      <c r="D29" s="100"/>
      <c r="E29" s="100"/>
      <c r="F29" s="100"/>
      <c r="G29" s="100"/>
      <c r="H29" s="100"/>
      <c r="I29" s="100"/>
      <c r="J29" s="100"/>
      <c r="K29" s="100"/>
      <c r="L29" s="100"/>
      <c r="M29" s="100"/>
      <c r="N29" s="100"/>
      <c r="O29" s="100"/>
      <c r="P29" s="100"/>
      <c r="Q29" s="100"/>
      <c r="R29" s="100"/>
      <c r="S29" s="100"/>
      <c r="T29" s="100"/>
      <c r="U29" s="101"/>
    </row>
  </sheetData>
  <mergeCells count="48">
    <mergeCell ref="B29:U29"/>
    <mergeCell ref="C16:H16"/>
    <mergeCell ref="I16:K16"/>
    <mergeCell ref="L16:O16"/>
    <mergeCell ref="B20:D20"/>
    <mergeCell ref="B21:D21"/>
    <mergeCell ref="B23:U23"/>
    <mergeCell ref="B24:U24"/>
    <mergeCell ref="B25:U25"/>
    <mergeCell ref="B26:U26"/>
    <mergeCell ref="B27:U27"/>
    <mergeCell ref="B28:U28"/>
    <mergeCell ref="C14:H14"/>
    <mergeCell ref="I14:K14"/>
    <mergeCell ref="L14:O14"/>
    <mergeCell ref="C15:H15"/>
    <mergeCell ref="I15:K15"/>
    <mergeCell ref="L15:O15"/>
    <mergeCell ref="C12:H12"/>
    <mergeCell ref="I12:K12"/>
    <mergeCell ref="L12:O12"/>
    <mergeCell ref="C13:H13"/>
    <mergeCell ref="I13:K13"/>
    <mergeCell ref="L13:O13"/>
    <mergeCell ref="C11:H11"/>
    <mergeCell ref="I11:K11"/>
    <mergeCell ref="L11:O11"/>
    <mergeCell ref="C6:G6"/>
    <mergeCell ref="K6:M6"/>
    <mergeCell ref="P6:Q6"/>
    <mergeCell ref="T6:U6"/>
    <mergeCell ref="B8:B10"/>
    <mergeCell ref="C8:H10"/>
    <mergeCell ref="I8:S8"/>
    <mergeCell ref="T8:U8"/>
    <mergeCell ref="I9:K10"/>
    <mergeCell ref="L9:O10"/>
    <mergeCell ref="P9:P10"/>
    <mergeCell ref="Q9:Q10"/>
    <mergeCell ref="R9:S9"/>
    <mergeCell ref="T9:T10"/>
    <mergeCell ref="U9:U10"/>
    <mergeCell ref="B5:U5"/>
    <mergeCell ref="B1:L1"/>
    <mergeCell ref="D4:H4"/>
    <mergeCell ref="L4:O4"/>
    <mergeCell ref="Q4:R4"/>
    <mergeCell ref="T4:U4"/>
  </mergeCells>
  <printOptions horizontalCentered="1"/>
  <pageMargins left="0.78740157480314965" right="0.78740157480314965" top="0.98425196850393704" bottom="0.98425196850393704" header="0" footer="0.39370078740157483"/>
  <pageSetup scale="60" fitToHeight="10" orientation="landscape" r:id="rId1"/>
  <headerFooter>
    <oddFooter>&amp;R&amp;P de &amp;N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39"/>
  <sheetViews>
    <sheetView view="pageBreakPreview" topLeftCell="A7" zoomScale="80" zoomScaleNormal="80" zoomScaleSheetLayoutView="80" workbookViewId="0">
      <selection activeCell="R11" sqref="R11:U11"/>
    </sheetView>
  </sheetViews>
  <sheetFormatPr baseColWidth="10" defaultColWidth="10" defaultRowHeight="12.75" x14ac:dyDescent="0.2"/>
  <cols>
    <col min="1" max="1" width="3.5" style="1" customWidth="1"/>
    <col min="2" max="2" width="14.7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9.625" style="1" customWidth="1"/>
    <col min="19" max="19" width="13" style="1" customWidth="1"/>
    <col min="20" max="20" width="10.75" style="1" customWidth="1"/>
    <col min="21" max="21" width="11.37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50" t="s">
        <v>0</v>
      </c>
      <c r="C1" s="50"/>
      <c r="D1" s="50"/>
      <c r="E1" s="50"/>
      <c r="F1" s="50"/>
      <c r="G1" s="50"/>
      <c r="H1" s="50"/>
      <c r="I1" s="50"/>
      <c r="J1" s="50"/>
      <c r="K1" s="50"/>
      <c r="L1" s="50"/>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51.75" customHeight="1" thickTop="1" x14ac:dyDescent="0.2">
      <c r="B4" s="8" t="s">
        <v>6</v>
      </c>
      <c r="C4" s="9" t="s">
        <v>610</v>
      </c>
      <c r="D4" s="57" t="s">
        <v>611</v>
      </c>
      <c r="E4" s="57"/>
      <c r="F4" s="57"/>
      <c r="G4" s="57"/>
      <c r="H4" s="57"/>
      <c r="I4" s="10"/>
      <c r="J4" s="11" t="s">
        <v>9</v>
      </c>
      <c r="K4" s="12" t="s">
        <v>10</v>
      </c>
      <c r="L4" s="58" t="s">
        <v>11</v>
      </c>
      <c r="M4" s="58"/>
      <c r="N4" s="58"/>
      <c r="O4" s="58"/>
      <c r="P4" s="11" t="s">
        <v>12</v>
      </c>
      <c r="Q4" s="58" t="s">
        <v>612</v>
      </c>
      <c r="R4" s="58"/>
      <c r="S4" s="11" t="s">
        <v>14</v>
      </c>
      <c r="T4" s="58"/>
      <c r="U4" s="59"/>
    </row>
    <row r="5" spans="1:21" ht="15.75" customHeight="1" x14ac:dyDescent="0.2">
      <c r="B5" s="54" t="s">
        <v>15</v>
      </c>
      <c r="C5" s="55"/>
      <c r="D5" s="55"/>
      <c r="E5" s="55"/>
      <c r="F5" s="55"/>
      <c r="G5" s="55"/>
      <c r="H5" s="55"/>
      <c r="I5" s="55"/>
      <c r="J5" s="55"/>
      <c r="K5" s="55"/>
      <c r="L5" s="55"/>
      <c r="M5" s="55"/>
      <c r="N5" s="55"/>
      <c r="O5" s="55"/>
      <c r="P5" s="55"/>
      <c r="Q5" s="55"/>
      <c r="R5" s="55"/>
      <c r="S5" s="55"/>
      <c r="T5" s="55"/>
      <c r="U5" s="56"/>
    </row>
    <row r="6" spans="1:21" ht="37.5" customHeight="1" thickBot="1" x14ac:dyDescent="0.25">
      <c r="B6" s="13" t="s">
        <v>16</v>
      </c>
      <c r="C6" s="60" t="s">
        <v>17</v>
      </c>
      <c r="D6" s="60"/>
      <c r="E6" s="60"/>
      <c r="F6" s="60"/>
      <c r="G6" s="60"/>
      <c r="H6" s="14"/>
      <c r="I6" s="14"/>
      <c r="J6" s="14" t="s">
        <v>18</v>
      </c>
      <c r="K6" s="60" t="s">
        <v>19</v>
      </c>
      <c r="L6" s="60"/>
      <c r="M6" s="60"/>
      <c r="N6" s="15"/>
      <c r="O6" s="16" t="s">
        <v>20</v>
      </c>
      <c r="P6" s="60" t="s">
        <v>324</v>
      </c>
      <c r="Q6" s="60"/>
      <c r="R6" s="17"/>
      <c r="S6" s="16" t="s">
        <v>22</v>
      </c>
      <c r="T6" s="60" t="s">
        <v>613</v>
      </c>
      <c r="U6" s="61"/>
    </row>
    <row r="7" spans="1:21" ht="14.25" customHeight="1" thickTop="1" thickBot="1" x14ac:dyDescent="0.25">
      <c r="B7" s="4" t="s">
        <v>24</v>
      </c>
      <c r="C7" s="5"/>
      <c r="D7" s="5"/>
      <c r="E7" s="5"/>
      <c r="F7" s="5"/>
      <c r="G7" s="5"/>
      <c r="H7" s="6"/>
      <c r="I7" s="6"/>
      <c r="J7" s="6"/>
      <c r="K7" s="6"/>
      <c r="L7" s="6"/>
      <c r="M7" s="6"/>
      <c r="N7" s="6"/>
      <c r="O7" s="6"/>
      <c r="P7" s="6"/>
      <c r="Q7" s="6"/>
      <c r="R7" s="6"/>
      <c r="S7" s="6"/>
      <c r="T7" s="6"/>
      <c r="U7" s="7"/>
    </row>
    <row r="8" spans="1:21" ht="16.5" customHeight="1" thickTop="1" x14ac:dyDescent="0.2">
      <c r="B8" s="62" t="s">
        <v>25</v>
      </c>
      <c r="C8" s="65" t="s">
        <v>26</v>
      </c>
      <c r="D8" s="66"/>
      <c r="E8" s="66"/>
      <c r="F8" s="66"/>
      <c r="G8" s="66"/>
      <c r="H8" s="67"/>
      <c r="I8" s="74" t="s">
        <v>27</v>
      </c>
      <c r="J8" s="75"/>
      <c r="K8" s="75"/>
      <c r="L8" s="75"/>
      <c r="M8" s="75"/>
      <c r="N8" s="75"/>
      <c r="O8" s="75"/>
      <c r="P8" s="75"/>
      <c r="Q8" s="75"/>
      <c r="R8" s="75"/>
      <c r="S8" s="76"/>
      <c r="T8" s="77" t="s">
        <v>28</v>
      </c>
      <c r="U8" s="78"/>
    </row>
    <row r="9" spans="1:21" ht="19.5" customHeight="1" x14ac:dyDescent="0.2">
      <c r="B9" s="63"/>
      <c r="C9" s="68"/>
      <c r="D9" s="69"/>
      <c r="E9" s="69"/>
      <c r="F9" s="69"/>
      <c r="G9" s="69"/>
      <c r="H9" s="70"/>
      <c r="I9" s="79" t="s">
        <v>29</v>
      </c>
      <c r="J9" s="80"/>
      <c r="K9" s="80"/>
      <c r="L9" s="80" t="s">
        <v>30</v>
      </c>
      <c r="M9" s="80"/>
      <c r="N9" s="80"/>
      <c r="O9" s="80"/>
      <c r="P9" s="80" t="s">
        <v>31</v>
      </c>
      <c r="Q9" s="80" t="s">
        <v>32</v>
      </c>
      <c r="R9" s="83" t="s">
        <v>33</v>
      </c>
      <c r="S9" s="84"/>
      <c r="T9" s="80" t="s">
        <v>34</v>
      </c>
      <c r="U9" s="85" t="s">
        <v>35</v>
      </c>
    </row>
    <row r="10" spans="1:21" ht="26.25" customHeight="1" thickBot="1" x14ac:dyDescent="0.25">
      <c r="B10" s="64"/>
      <c r="C10" s="71"/>
      <c r="D10" s="72"/>
      <c r="E10" s="72"/>
      <c r="F10" s="72"/>
      <c r="G10" s="72"/>
      <c r="H10" s="73"/>
      <c r="I10" s="81"/>
      <c r="J10" s="82"/>
      <c r="K10" s="82"/>
      <c r="L10" s="82"/>
      <c r="M10" s="82"/>
      <c r="N10" s="82"/>
      <c r="O10" s="82"/>
      <c r="P10" s="82"/>
      <c r="Q10" s="82"/>
      <c r="R10" s="19" t="s">
        <v>36</v>
      </c>
      <c r="S10" s="20" t="s">
        <v>37</v>
      </c>
      <c r="T10" s="82"/>
      <c r="U10" s="86"/>
    </row>
    <row r="11" spans="1:21" ht="141.75" customHeight="1" thickTop="1" thickBot="1" x14ac:dyDescent="0.25">
      <c r="A11" s="21"/>
      <c r="B11" s="22" t="s">
        <v>38</v>
      </c>
      <c r="C11" s="87" t="s">
        <v>614</v>
      </c>
      <c r="D11" s="87"/>
      <c r="E11" s="87"/>
      <c r="F11" s="87"/>
      <c r="G11" s="87"/>
      <c r="H11" s="87"/>
      <c r="I11" s="87" t="s">
        <v>615</v>
      </c>
      <c r="J11" s="87"/>
      <c r="K11" s="87"/>
      <c r="L11" s="87" t="s">
        <v>616</v>
      </c>
      <c r="M11" s="87"/>
      <c r="N11" s="87"/>
      <c r="O11" s="87"/>
      <c r="P11" s="23" t="s">
        <v>617</v>
      </c>
      <c r="Q11" s="23" t="s">
        <v>43</v>
      </c>
      <c r="R11" s="23">
        <v>2.2000000000000002</v>
      </c>
      <c r="S11" s="23">
        <v>2.2000000000000002</v>
      </c>
      <c r="T11" s="23">
        <v>3.66</v>
      </c>
      <c r="U11" s="45">
        <f>166.36</f>
        <v>166.36</v>
      </c>
    </row>
    <row r="12" spans="1:21" ht="93.75" customHeight="1" thickTop="1" thickBot="1" x14ac:dyDescent="0.25">
      <c r="A12" s="21"/>
      <c r="B12" s="22" t="s">
        <v>44</v>
      </c>
      <c r="C12" s="87" t="s">
        <v>618</v>
      </c>
      <c r="D12" s="87"/>
      <c r="E12" s="87"/>
      <c r="F12" s="87"/>
      <c r="G12" s="87"/>
      <c r="H12" s="87"/>
      <c r="I12" s="87" t="s">
        <v>619</v>
      </c>
      <c r="J12" s="87"/>
      <c r="K12" s="87"/>
      <c r="L12" s="87" t="s">
        <v>620</v>
      </c>
      <c r="M12" s="87"/>
      <c r="N12" s="87"/>
      <c r="O12" s="87"/>
      <c r="P12" s="23" t="s">
        <v>48</v>
      </c>
      <c r="Q12" s="23" t="s">
        <v>43</v>
      </c>
      <c r="R12" s="23">
        <v>53.48</v>
      </c>
      <c r="S12" s="23">
        <v>53.48</v>
      </c>
      <c r="T12" s="23">
        <v>78.69</v>
      </c>
      <c r="U12" s="45">
        <v>102.9</v>
      </c>
    </row>
    <row r="13" spans="1:21" ht="96" customHeight="1" thickTop="1" x14ac:dyDescent="0.2">
      <c r="A13" s="21"/>
      <c r="B13" s="22" t="s">
        <v>50</v>
      </c>
      <c r="C13" s="87" t="s">
        <v>621</v>
      </c>
      <c r="D13" s="87"/>
      <c r="E13" s="87"/>
      <c r="F13" s="87"/>
      <c r="G13" s="87"/>
      <c r="H13" s="87"/>
      <c r="I13" s="87" t="s">
        <v>622</v>
      </c>
      <c r="J13" s="87"/>
      <c r="K13" s="87"/>
      <c r="L13" s="87" t="s">
        <v>623</v>
      </c>
      <c r="M13" s="87"/>
      <c r="N13" s="87"/>
      <c r="O13" s="87"/>
      <c r="P13" s="23" t="s">
        <v>48</v>
      </c>
      <c r="Q13" s="23" t="s">
        <v>71</v>
      </c>
      <c r="R13" s="23">
        <v>87.5</v>
      </c>
      <c r="S13" s="23">
        <v>87.5</v>
      </c>
      <c r="T13" s="23">
        <v>85.25</v>
      </c>
      <c r="U13" s="45">
        <f>97.43</f>
        <v>97.43</v>
      </c>
    </row>
    <row r="14" spans="1:21" ht="100.5" customHeight="1" x14ac:dyDescent="0.2">
      <c r="A14" s="21"/>
      <c r="B14" s="24" t="s">
        <v>55</v>
      </c>
      <c r="C14" s="88" t="s">
        <v>624</v>
      </c>
      <c r="D14" s="88"/>
      <c r="E14" s="88"/>
      <c r="F14" s="88"/>
      <c r="G14" s="88"/>
      <c r="H14" s="88"/>
      <c r="I14" s="88" t="s">
        <v>625</v>
      </c>
      <c r="J14" s="88"/>
      <c r="K14" s="88"/>
      <c r="L14" s="88" t="s">
        <v>626</v>
      </c>
      <c r="M14" s="88"/>
      <c r="N14" s="88"/>
      <c r="O14" s="88"/>
      <c r="P14" s="25" t="s">
        <v>48</v>
      </c>
      <c r="Q14" s="25" t="s">
        <v>71</v>
      </c>
      <c r="R14" s="25">
        <v>100</v>
      </c>
      <c r="S14" s="25">
        <v>100</v>
      </c>
      <c r="T14" s="25">
        <v>92.42</v>
      </c>
      <c r="U14" s="46">
        <f>92.42</f>
        <v>92.42</v>
      </c>
    </row>
    <row r="15" spans="1:21" ht="89.25" customHeight="1" x14ac:dyDescent="0.2">
      <c r="A15" s="21"/>
      <c r="B15" s="24" t="s">
        <v>55</v>
      </c>
      <c r="C15" s="88" t="s">
        <v>627</v>
      </c>
      <c r="D15" s="88"/>
      <c r="E15" s="88"/>
      <c r="F15" s="88"/>
      <c r="G15" s="88"/>
      <c r="H15" s="88"/>
      <c r="I15" s="88" t="s">
        <v>628</v>
      </c>
      <c r="J15" s="88"/>
      <c r="K15" s="88"/>
      <c r="L15" s="88" t="s">
        <v>629</v>
      </c>
      <c r="M15" s="88"/>
      <c r="N15" s="88"/>
      <c r="O15" s="88"/>
      <c r="P15" s="25" t="s">
        <v>48</v>
      </c>
      <c r="Q15" s="25" t="s">
        <v>71</v>
      </c>
      <c r="R15" s="25">
        <v>100</v>
      </c>
      <c r="S15" s="25">
        <v>100</v>
      </c>
      <c r="T15" s="25">
        <v>99.76</v>
      </c>
      <c r="U15" s="46">
        <f>99.76</f>
        <v>99.76</v>
      </c>
    </row>
    <row r="16" spans="1:21" ht="108.75" customHeight="1" thickBot="1" x14ac:dyDescent="0.25">
      <c r="A16" s="21"/>
      <c r="B16" s="24" t="s">
        <v>55</v>
      </c>
      <c r="C16" s="88" t="s">
        <v>630</v>
      </c>
      <c r="D16" s="88"/>
      <c r="E16" s="88"/>
      <c r="F16" s="88"/>
      <c r="G16" s="88"/>
      <c r="H16" s="88"/>
      <c r="I16" s="88" t="s">
        <v>631</v>
      </c>
      <c r="J16" s="88"/>
      <c r="K16" s="88"/>
      <c r="L16" s="88" t="s">
        <v>632</v>
      </c>
      <c r="M16" s="88"/>
      <c r="N16" s="88"/>
      <c r="O16" s="88"/>
      <c r="P16" s="25" t="s">
        <v>48</v>
      </c>
      <c r="Q16" s="25" t="s">
        <v>43</v>
      </c>
      <c r="R16" s="25">
        <v>100</v>
      </c>
      <c r="S16" s="25">
        <v>100</v>
      </c>
      <c r="T16" s="25">
        <v>92.4</v>
      </c>
      <c r="U16" s="46">
        <f>92.41</f>
        <v>92.41</v>
      </c>
    </row>
    <row r="17" spans="1:22" ht="75" customHeight="1" thickTop="1" x14ac:dyDescent="0.2">
      <c r="A17" s="21"/>
      <c r="B17" s="22" t="s">
        <v>61</v>
      </c>
      <c r="C17" s="87" t="s">
        <v>633</v>
      </c>
      <c r="D17" s="87"/>
      <c r="E17" s="87"/>
      <c r="F17" s="87"/>
      <c r="G17" s="87"/>
      <c r="H17" s="87"/>
      <c r="I17" s="87" t="s">
        <v>634</v>
      </c>
      <c r="J17" s="87"/>
      <c r="K17" s="87"/>
      <c r="L17" s="87" t="s">
        <v>635</v>
      </c>
      <c r="M17" s="87"/>
      <c r="N17" s="87"/>
      <c r="O17" s="87"/>
      <c r="P17" s="23" t="s">
        <v>48</v>
      </c>
      <c r="Q17" s="23" t="s">
        <v>71</v>
      </c>
      <c r="R17" s="23">
        <v>100</v>
      </c>
      <c r="S17" s="23">
        <v>100</v>
      </c>
      <c r="T17" s="23">
        <v>93.75</v>
      </c>
      <c r="U17" s="45">
        <f>93.75</f>
        <v>93.75</v>
      </c>
    </row>
    <row r="18" spans="1:22" ht="98.25" customHeight="1" x14ac:dyDescent="0.2">
      <c r="A18" s="21"/>
      <c r="B18" s="24" t="s">
        <v>55</v>
      </c>
      <c r="C18" s="88" t="s">
        <v>636</v>
      </c>
      <c r="D18" s="88"/>
      <c r="E18" s="88"/>
      <c r="F18" s="88"/>
      <c r="G18" s="88"/>
      <c r="H18" s="88"/>
      <c r="I18" s="88" t="s">
        <v>637</v>
      </c>
      <c r="J18" s="88"/>
      <c r="K18" s="88"/>
      <c r="L18" s="88" t="s">
        <v>638</v>
      </c>
      <c r="M18" s="88"/>
      <c r="N18" s="88"/>
      <c r="O18" s="88"/>
      <c r="P18" s="25" t="s">
        <v>48</v>
      </c>
      <c r="Q18" s="25" t="s">
        <v>71</v>
      </c>
      <c r="R18" s="25">
        <v>100</v>
      </c>
      <c r="S18" s="25">
        <v>100</v>
      </c>
      <c r="T18" s="25">
        <v>100</v>
      </c>
      <c r="U18" s="46">
        <f>100</f>
        <v>100</v>
      </c>
    </row>
    <row r="19" spans="1:22" ht="108" customHeight="1" x14ac:dyDescent="0.2">
      <c r="A19" s="21"/>
      <c r="B19" s="24" t="s">
        <v>55</v>
      </c>
      <c r="C19" s="88" t="s">
        <v>639</v>
      </c>
      <c r="D19" s="88"/>
      <c r="E19" s="88"/>
      <c r="F19" s="88"/>
      <c r="G19" s="88"/>
      <c r="H19" s="88"/>
      <c r="I19" s="88" t="s">
        <v>640</v>
      </c>
      <c r="J19" s="88"/>
      <c r="K19" s="88"/>
      <c r="L19" s="88" t="s">
        <v>641</v>
      </c>
      <c r="M19" s="88"/>
      <c r="N19" s="88"/>
      <c r="O19" s="88"/>
      <c r="P19" s="25" t="s">
        <v>48</v>
      </c>
      <c r="Q19" s="25" t="s">
        <v>501</v>
      </c>
      <c r="R19" s="25">
        <v>100</v>
      </c>
      <c r="S19" s="25">
        <v>100</v>
      </c>
      <c r="T19" s="25">
        <v>84.38</v>
      </c>
      <c r="U19" s="46">
        <f>84.38</f>
        <v>84.38</v>
      </c>
    </row>
    <row r="20" spans="1:22" ht="98.25" customHeight="1" x14ac:dyDescent="0.2">
      <c r="A20" s="21"/>
      <c r="B20" s="24" t="s">
        <v>55</v>
      </c>
      <c r="C20" s="88" t="s">
        <v>55</v>
      </c>
      <c r="D20" s="88"/>
      <c r="E20" s="88"/>
      <c r="F20" s="88"/>
      <c r="G20" s="88"/>
      <c r="H20" s="88"/>
      <c r="I20" s="88" t="s">
        <v>642</v>
      </c>
      <c r="J20" s="88"/>
      <c r="K20" s="88"/>
      <c r="L20" s="88" t="s">
        <v>643</v>
      </c>
      <c r="M20" s="88"/>
      <c r="N20" s="88"/>
      <c r="O20" s="88"/>
      <c r="P20" s="25" t="s">
        <v>48</v>
      </c>
      <c r="Q20" s="25" t="s">
        <v>71</v>
      </c>
      <c r="R20" s="25">
        <v>100</v>
      </c>
      <c r="S20" s="25">
        <v>100</v>
      </c>
      <c r="T20" s="25">
        <v>100</v>
      </c>
      <c r="U20" s="46">
        <f>100</f>
        <v>100</v>
      </c>
    </row>
    <row r="21" spans="1:22" ht="75" customHeight="1" thickBot="1" x14ac:dyDescent="0.25">
      <c r="A21" s="21"/>
      <c r="B21" s="24" t="s">
        <v>55</v>
      </c>
      <c r="C21" s="88" t="s">
        <v>644</v>
      </c>
      <c r="D21" s="88"/>
      <c r="E21" s="88"/>
      <c r="F21" s="88"/>
      <c r="G21" s="88"/>
      <c r="H21" s="88"/>
      <c r="I21" s="88" t="s">
        <v>645</v>
      </c>
      <c r="J21" s="88"/>
      <c r="K21" s="88"/>
      <c r="L21" s="88" t="s">
        <v>646</v>
      </c>
      <c r="M21" s="88"/>
      <c r="N21" s="88"/>
      <c r="O21" s="88"/>
      <c r="P21" s="25" t="s">
        <v>48</v>
      </c>
      <c r="Q21" s="25" t="s">
        <v>501</v>
      </c>
      <c r="R21" s="25">
        <v>100</v>
      </c>
      <c r="S21" s="25">
        <v>100</v>
      </c>
      <c r="T21" s="25">
        <v>42.06</v>
      </c>
      <c r="U21" s="46">
        <f>42.06</f>
        <v>42.06</v>
      </c>
    </row>
    <row r="22" spans="1:22" ht="14.25" customHeight="1" thickTop="1" thickBot="1" x14ac:dyDescent="0.25">
      <c r="B22" s="4" t="s">
        <v>80</v>
      </c>
      <c r="C22" s="5"/>
      <c r="D22" s="5"/>
      <c r="E22" s="5"/>
      <c r="F22" s="5"/>
      <c r="G22" s="5"/>
      <c r="H22" s="6"/>
      <c r="I22" s="6"/>
      <c r="J22" s="6"/>
      <c r="K22" s="6"/>
      <c r="L22" s="6"/>
      <c r="M22" s="6"/>
      <c r="N22" s="6"/>
      <c r="O22" s="6"/>
      <c r="P22" s="6"/>
      <c r="Q22" s="6"/>
      <c r="R22" s="6"/>
      <c r="S22" s="6"/>
      <c r="T22" s="6"/>
      <c r="U22" s="7"/>
      <c r="V22" s="26"/>
    </row>
    <row r="23" spans="1:22" ht="26.25" customHeight="1" thickTop="1" x14ac:dyDescent="0.2">
      <c r="B23" s="27"/>
      <c r="C23" s="28"/>
      <c r="D23" s="28"/>
      <c r="E23" s="28"/>
      <c r="F23" s="28"/>
      <c r="G23" s="28"/>
      <c r="H23" s="29"/>
      <c r="I23" s="29"/>
      <c r="J23" s="29"/>
      <c r="K23" s="29"/>
      <c r="L23" s="29"/>
      <c r="M23" s="29"/>
      <c r="N23" s="29"/>
      <c r="O23" s="29"/>
      <c r="P23" s="29"/>
      <c r="Q23" s="29"/>
      <c r="R23" s="30"/>
      <c r="S23" s="31" t="s">
        <v>33</v>
      </c>
      <c r="T23" s="31" t="s">
        <v>81</v>
      </c>
      <c r="U23" s="18" t="s">
        <v>82</v>
      </c>
    </row>
    <row r="24" spans="1:22" ht="26.25" customHeight="1" thickBot="1" x14ac:dyDescent="0.25">
      <c r="B24" s="32"/>
      <c r="C24" s="33"/>
      <c r="D24" s="33"/>
      <c r="E24" s="33"/>
      <c r="F24" s="33"/>
      <c r="G24" s="33"/>
      <c r="H24" s="34"/>
      <c r="I24" s="34"/>
      <c r="J24" s="34"/>
      <c r="K24" s="34"/>
      <c r="L24" s="34"/>
      <c r="M24" s="34"/>
      <c r="N24" s="34"/>
      <c r="O24" s="34"/>
      <c r="P24" s="34"/>
      <c r="Q24" s="34"/>
      <c r="R24" s="34"/>
      <c r="S24" s="35" t="s">
        <v>83</v>
      </c>
      <c r="T24" s="36" t="s">
        <v>83</v>
      </c>
      <c r="U24" s="36" t="s">
        <v>84</v>
      </c>
    </row>
    <row r="25" spans="1:22" ht="13.5" customHeight="1" thickBot="1" x14ac:dyDescent="0.25">
      <c r="B25" s="92" t="s">
        <v>85</v>
      </c>
      <c r="C25" s="93"/>
      <c r="D25" s="93"/>
      <c r="E25" s="37"/>
      <c r="F25" s="37"/>
      <c r="G25" s="37"/>
      <c r="H25" s="38"/>
      <c r="I25" s="38"/>
      <c r="J25" s="38"/>
      <c r="K25" s="38"/>
      <c r="L25" s="38"/>
      <c r="M25" s="38"/>
      <c r="N25" s="38"/>
      <c r="O25" s="38"/>
      <c r="P25" s="39"/>
      <c r="Q25" s="39"/>
      <c r="R25" s="39"/>
      <c r="S25" s="48">
        <v>2008.893626</v>
      </c>
      <c r="T25" s="48">
        <v>1977.44070205</v>
      </c>
      <c r="U25" s="49">
        <f>+IF(ISERR(T25/S25*100),"N/A",ROUND(T25/S25*100,1))</f>
        <v>98.4</v>
      </c>
    </row>
    <row r="26" spans="1:22" ht="13.5" customHeight="1" thickBot="1" x14ac:dyDescent="0.25">
      <c r="B26" s="94" t="s">
        <v>86</v>
      </c>
      <c r="C26" s="95"/>
      <c r="D26" s="95"/>
      <c r="E26" s="40"/>
      <c r="F26" s="40"/>
      <c r="G26" s="40"/>
      <c r="H26" s="41"/>
      <c r="I26" s="41"/>
      <c r="J26" s="41"/>
      <c r="K26" s="41"/>
      <c r="L26" s="41"/>
      <c r="M26" s="41"/>
      <c r="N26" s="41"/>
      <c r="O26" s="41"/>
      <c r="P26" s="42"/>
      <c r="Q26" s="42"/>
      <c r="R26" s="42"/>
      <c r="S26" s="48">
        <v>1977.4407020499993</v>
      </c>
      <c r="T26" s="48">
        <v>1977.44070205</v>
      </c>
      <c r="U26" s="49">
        <f>+IF(ISERR(T26/S26*100),"N/A",ROUND(T26/S26*100,1))</f>
        <v>100</v>
      </c>
    </row>
    <row r="27" spans="1:22" ht="14.85" customHeight="1" thickTop="1" thickBot="1" x14ac:dyDescent="0.25">
      <c r="B27" s="4" t="s">
        <v>87</v>
      </c>
      <c r="C27" s="5"/>
      <c r="D27" s="5"/>
      <c r="E27" s="5"/>
      <c r="F27" s="5"/>
      <c r="G27" s="5"/>
      <c r="H27" s="6"/>
      <c r="I27" s="6"/>
      <c r="J27" s="6"/>
      <c r="K27" s="6"/>
      <c r="L27" s="6"/>
      <c r="M27" s="6"/>
      <c r="N27" s="6"/>
      <c r="O27" s="6"/>
      <c r="P27" s="6"/>
      <c r="Q27" s="6"/>
      <c r="R27" s="6"/>
      <c r="S27" s="6"/>
      <c r="T27" s="6"/>
      <c r="U27" s="7"/>
    </row>
    <row r="28" spans="1:22" ht="44.25" customHeight="1" thickTop="1" x14ac:dyDescent="0.2">
      <c r="B28" s="89" t="s">
        <v>88</v>
      </c>
      <c r="C28" s="90"/>
      <c r="D28" s="90"/>
      <c r="E28" s="90"/>
      <c r="F28" s="90"/>
      <c r="G28" s="90"/>
      <c r="H28" s="90"/>
      <c r="I28" s="90"/>
      <c r="J28" s="90"/>
      <c r="K28" s="90"/>
      <c r="L28" s="90"/>
      <c r="M28" s="90"/>
      <c r="N28" s="90"/>
      <c r="O28" s="90"/>
      <c r="P28" s="90"/>
      <c r="Q28" s="90"/>
      <c r="R28" s="90"/>
      <c r="S28" s="90"/>
      <c r="T28" s="90"/>
      <c r="U28" s="91"/>
    </row>
    <row r="29" spans="1:22" ht="150.94999999999999" customHeight="1" x14ac:dyDescent="0.2">
      <c r="B29" s="96" t="s">
        <v>647</v>
      </c>
      <c r="C29" s="97"/>
      <c r="D29" s="97"/>
      <c r="E29" s="97"/>
      <c r="F29" s="97"/>
      <c r="G29" s="97"/>
      <c r="H29" s="97"/>
      <c r="I29" s="97"/>
      <c r="J29" s="97"/>
      <c r="K29" s="97"/>
      <c r="L29" s="97"/>
      <c r="M29" s="97"/>
      <c r="N29" s="97"/>
      <c r="O29" s="97"/>
      <c r="P29" s="97"/>
      <c r="Q29" s="97"/>
      <c r="R29" s="97"/>
      <c r="S29" s="97"/>
      <c r="T29" s="97"/>
      <c r="U29" s="98"/>
    </row>
    <row r="30" spans="1:22" ht="63" customHeight="1" x14ac:dyDescent="0.2">
      <c r="B30" s="96" t="s">
        <v>648</v>
      </c>
      <c r="C30" s="97"/>
      <c r="D30" s="97"/>
      <c r="E30" s="97"/>
      <c r="F30" s="97"/>
      <c r="G30" s="97"/>
      <c r="H30" s="97"/>
      <c r="I30" s="97"/>
      <c r="J30" s="97"/>
      <c r="K30" s="97"/>
      <c r="L30" s="97"/>
      <c r="M30" s="97"/>
      <c r="N30" s="97"/>
      <c r="O30" s="97"/>
      <c r="P30" s="97"/>
      <c r="Q30" s="97"/>
      <c r="R30" s="97"/>
      <c r="S30" s="97"/>
      <c r="T30" s="97"/>
      <c r="U30" s="98"/>
    </row>
    <row r="31" spans="1:22" ht="76.5" customHeight="1" x14ac:dyDescent="0.2">
      <c r="B31" s="96" t="s">
        <v>649</v>
      </c>
      <c r="C31" s="97"/>
      <c r="D31" s="97"/>
      <c r="E31" s="97"/>
      <c r="F31" s="97"/>
      <c r="G31" s="97"/>
      <c r="H31" s="97"/>
      <c r="I31" s="97"/>
      <c r="J31" s="97"/>
      <c r="K31" s="97"/>
      <c r="L31" s="97"/>
      <c r="M31" s="97"/>
      <c r="N31" s="97"/>
      <c r="O31" s="97"/>
      <c r="P31" s="97"/>
      <c r="Q31" s="97"/>
      <c r="R31" s="97"/>
      <c r="S31" s="97"/>
      <c r="T31" s="97"/>
      <c r="U31" s="98"/>
    </row>
    <row r="32" spans="1:22" ht="75" customHeight="1" x14ac:dyDescent="0.2">
      <c r="B32" s="96" t="s">
        <v>650</v>
      </c>
      <c r="C32" s="97"/>
      <c r="D32" s="97"/>
      <c r="E32" s="97"/>
      <c r="F32" s="97"/>
      <c r="G32" s="97"/>
      <c r="H32" s="97"/>
      <c r="I32" s="97"/>
      <c r="J32" s="97"/>
      <c r="K32" s="97"/>
      <c r="L32" s="97"/>
      <c r="M32" s="97"/>
      <c r="N32" s="97"/>
      <c r="O32" s="97"/>
      <c r="P32" s="97"/>
      <c r="Q32" s="97"/>
      <c r="R32" s="97"/>
      <c r="S32" s="97"/>
      <c r="T32" s="97"/>
      <c r="U32" s="98"/>
    </row>
    <row r="33" spans="2:21" ht="76.5" customHeight="1" x14ac:dyDescent="0.2">
      <c r="B33" s="96" t="s">
        <v>651</v>
      </c>
      <c r="C33" s="97"/>
      <c r="D33" s="97"/>
      <c r="E33" s="97"/>
      <c r="F33" s="97"/>
      <c r="G33" s="97"/>
      <c r="H33" s="97"/>
      <c r="I33" s="97"/>
      <c r="J33" s="97"/>
      <c r="K33" s="97"/>
      <c r="L33" s="97"/>
      <c r="M33" s="97"/>
      <c r="N33" s="97"/>
      <c r="O33" s="97"/>
      <c r="P33" s="97"/>
      <c r="Q33" s="97"/>
      <c r="R33" s="97"/>
      <c r="S33" s="97"/>
      <c r="T33" s="97"/>
      <c r="U33" s="98"/>
    </row>
    <row r="34" spans="2:21" ht="79.5" customHeight="1" x14ac:dyDescent="0.2">
      <c r="B34" s="96" t="s">
        <v>652</v>
      </c>
      <c r="C34" s="97"/>
      <c r="D34" s="97"/>
      <c r="E34" s="97"/>
      <c r="F34" s="97"/>
      <c r="G34" s="97"/>
      <c r="H34" s="97"/>
      <c r="I34" s="97"/>
      <c r="J34" s="97"/>
      <c r="K34" s="97"/>
      <c r="L34" s="97"/>
      <c r="M34" s="97"/>
      <c r="N34" s="97"/>
      <c r="O34" s="97"/>
      <c r="P34" s="97"/>
      <c r="Q34" s="97"/>
      <c r="R34" s="97"/>
      <c r="S34" s="97"/>
      <c r="T34" s="97"/>
      <c r="U34" s="98"/>
    </row>
    <row r="35" spans="2:21" ht="68.25" customHeight="1" x14ac:dyDescent="0.2">
      <c r="B35" s="96" t="s">
        <v>653</v>
      </c>
      <c r="C35" s="97"/>
      <c r="D35" s="97"/>
      <c r="E35" s="97"/>
      <c r="F35" s="97"/>
      <c r="G35" s="97"/>
      <c r="H35" s="97"/>
      <c r="I35" s="97"/>
      <c r="J35" s="97"/>
      <c r="K35" s="97"/>
      <c r="L35" s="97"/>
      <c r="M35" s="97"/>
      <c r="N35" s="97"/>
      <c r="O35" s="97"/>
      <c r="P35" s="97"/>
      <c r="Q35" s="97"/>
      <c r="R35" s="97"/>
      <c r="S35" s="97"/>
      <c r="T35" s="97"/>
      <c r="U35" s="98"/>
    </row>
    <row r="36" spans="2:21" ht="68.25" customHeight="1" x14ac:dyDescent="0.2">
      <c r="B36" s="96" t="s">
        <v>654</v>
      </c>
      <c r="C36" s="97"/>
      <c r="D36" s="97"/>
      <c r="E36" s="97"/>
      <c r="F36" s="97"/>
      <c r="G36" s="97"/>
      <c r="H36" s="97"/>
      <c r="I36" s="97"/>
      <c r="J36" s="97"/>
      <c r="K36" s="97"/>
      <c r="L36" s="97"/>
      <c r="M36" s="97"/>
      <c r="N36" s="97"/>
      <c r="O36" s="97"/>
      <c r="P36" s="97"/>
      <c r="Q36" s="97"/>
      <c r="R36" s="97"/>
      <c r="S36" s="97"/>
      <c r="T36" s="97"/>
      <c r="U36" s="98"/>
    </row>
    <row r="37" spans="2:21" ht="68.25" customHeight="1" x14ac:dyDescent="0.2">
      <c r="B37" s="96" t="s">
        <v>655</v>
      </c>
      <c r="C37" s="97"/>
      <c r="D37" s="97"/>
      <c r="E37" s="97"/>
      <c r="F37" s="97"/>
      <c r="G37" s="97"/>
      <c r="H37" s="97"/>
      <c r="I37" s="97"/>
      <c r="J37" s="97"/>
      <c r="K37" s="97"/>
      <c r="L37" s="97"/>
      <c r="M37" s="97"/>
      <c r="N37" s="97"/>
      <c r="O37" s="97"/>
      <c r="P37" s="97"/>
      <c r="Q37" s="97"/>
      <c r="R37" s="97"/>
      <c r="S37" s="97"/>
      <c r="T37" s="97"/>
      <c r="U37" s="98"/>
    </row>
    <row r="38" spans="2:21" ht="68.25" customHeight="1" x14ac:dyDescent="0.2">
      <c r="B38" s="96" t="s">
        <v>656</v>
      </c>
      <c r="C38" s="97"/>
      <c r="D38" s="97"/>
      <c r="E38" s="97"/>
      <c r="F38" s="97"/>
      <c r="G38" s="97"/>
      <c r="H38" s="97"/>
      <c r="I38" s="97"/>
      <c r="J38" s="97"/>
      <c r="K38" s="97"/>
      <c r="L38" s="97"/>
      <c r="M38" s="97"/>
      <c r="N38" s="97"/>
      <c r="O38" s="97"/>
      <c r="P38" s="97"/>
      <c r="Q38" s="97"/>
      <c r="R38" s="97"/>
      <c r="S38" s="97"/>
      <c r="T38" s="97"/>
      <c r="U38" s="98"/>
    </row>
    <row r="39" spans="2:21" ht="68.25" customHeight="1" thickBot="1" x14ac:dyDescent="0.25">
      <c r="B39" s="99" t="s">
        <v>657</v>
      </c>
      <c r="C39" s="100"/>
      <c r="D39" s="100"/>
      <c r="E39" s="100"/>
      <c r="F39" s="100"/>
      <c r="G39" s="100"/>
      <c r="H39" s="100"/>
      <c r="I39" s="100"/>
      <c r="J39" s="100"/>
      <c r="K39" s="100"/>
      <c r="L39" s="100"/>
      <c r="M39" s="100"/>
      <c r="N39" s="100"/>
      <c r="O39" s="100"/>
      <c r="P39" s="100"/>
      <c r="Q39" s="100"/>
      <c r="R39" s="100"/>
      <c r="S39" s="100"/>
      <c r="T39" s="100"/>
      <c r="U39" s="101"/>
    </row>
  </sheetData>
  <mergeCells count="68">
    <mergeCell ref="B38:U38"/>
    <mergeCell ref="B39:U39"/>
    <mergeCell ref="B32:U32"/>
    <mergeCell ref="B33:U33"/>
    <mergeCell ref="B34:U34"/>
    <mergeCell ref="B35:U35"/>
    <mergeCell ref="B36:U36"/>
    <mergeCell ref="B37:U37"/>
    <mergeCell ref="B31:U31"/>
    <mergeCell ref="C20:H20"/>
    <mergeCell ref="I20:K20"/>
    <mergeCell ref="L20:O20"/>
    <mergeCell ref="C21:H21"/>
    <mergeCell ref="I21:K21"/>
    <mergeCell ref="L21:O21"/>
    <mergeCell ref="B25:D25"/>
    <mergeCell ref="B26:D26"/>
    <mergeCell ref="B28:U28"/>
    <mergeCell ref="B29:U29"/>
    <mergeCell ref="B30:U30"/>
    <mergeCell ref="C18:H18"/>
    <mergeCell ref="I18:K18"/>
    <mergeCell ref="L18:O18"/>
    <mergeCell ref="C19:H19"/>
    <mergeCell ref="I19:K19"/>
    <mergeCell ref="L19:O19"/>
    <mergeCell ref="C16:H16"/>
    <mergeCell ref="I16:K16"/>
    <mergeCell ref="L16:O16"/>
    <mergeCell ref="C17:H17"/>
    <mergeCell ref="I17:K17"/>
    <mergeCell ref="L17:O17"/>
    <mergeCell ref="C14:H14"/>
    <mergeCell ref="I14:K14"/>
    <mergeCell ref="L14:O14"/>
    <mergeCell ref="C15:H15"/>
    <mergeCell ref="I15:K15"/>
    <mergeCell ref="L15:O15"/>
    <mergeCell ref="C12:H12"/>
    <mergeCell ref="I12:K12"/>
    <mergeCell ref="L12:O12"/>
    <mergeCell ref="C13:H13"/>
    <mergeCell ref="I13:K13"/>
    <mergeCell ref="L13:O13"/>
    <mergeCell ref="C11:H11"/>
    <mergeCell ref="I11:K11"/>
    <mergeCell ref="L11:O11"/>
    <mergeCell ref="C6:G6"/>
    <mergeCell ref="K6:M6"/>
    <mergeCell ref="P6:Q6"/>
    <mergeCell ref="T6:U6"/>
    <mergeCell ref="B8:B10"/>
    <mergeCell ref="C8:H10"/>
    <mergeCell ref="I8:S8"/>
    <mergeCell ref="T8:U8"/>
    <mergeCell ref="I9:K10"/>
    <mergeCell ref="L9:O10"/>
    <mergeCell ref="P9:P10"/>
    <mergeCell ref="Q9:Q10"/>
    <mergeCell ref="R9:S9"/>
    <mergeCell ref="T9:T10"/>
    <mergeCell ref="U9:U10"/>
    <mergeCell ref="B5:U5"/>
    <mergeCell ref="B1:L1"/>
    <mergeCell ref="D4:H4"/>
    <mergeCell ref="L4:O4"/>
    <mergeCell ref="Q4:R4"/>
    <mergeCell ref="T4:U4"/>
  </mergeCells>
  <printOptions horizontalCentered="1"/>
  <pageMargins left="0.78740157480314965" right="0.78740157480314965" top="0.98425196850393704" bottom="0.98425196850393704" header="0" footer="0.39370078740157483"/>
  <pageSetup scale="60" fitToHeight="10" orientation="landscape" r:id="rId1"/>
  <headerFooter>
    <oddFooter>&amp;R&amp;P de &amp;N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39"/>
  <sheetViews>
    <sheetView view="pageBreakPreview" topLeftCell="A7" zoomScale="80" zoomScaleNormal="80" zoomScaleSheetLayoutView="80" workbookViewId="0">
      <selection activeCell="T12" sqref="T12:U12"/>
    </sheetView>
  </sheetViews>
  <sheetFormatPr baseColWidth="10" defaultColWidth="10" defaultRowHeight="12.75" x14ac:dyDescent="0.2"/>
  <cols>
    <col min="1" max="1" width="3.5" style="1" customWidth="1"/>
    <col min="2" max="2" width="14.7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9.625" style="1" customWidth="1"/>
    <col min="19" max="19" width="13" style="1" customWidth="1"/>
    <col min="20" max="20" width="10.75" style="1" customWidth="1"/>
    <col min="21" max="21" width="11.37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50" t="s">
        <v>0</v>
      </c>
      <c r="C1" s="50"/>
      <c r="D1" s="50"/>
      <c r="E1" s="50"/>
      <c r="F1" s="50"/>
      <c r="G1" s="50"/>
      <c r="H1" s="50"/>
      <c r="I1" s="50"/>
      <c r="J1" s="50"/>
      <c r="K1" s="50"/>
      <c r="L1" s="50"/>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51.75" customHeight="1" thickTop="1" x14ac:dyDescent="0.2">
      <c r="B4" s="8" t="s">
        <v>6</v>
      </c>
      <c r="C4" s="9" t="s">
        <v>658</v>
      </c>
      <c r="D4" s="57" t="s">
        <v>659</v>
      </c>
      <c r="E4" s="57"/>
      <c r="F4" s="57"/>
      <c r="G4" s="57"/>
      <c r="H4" s="57"/>
      <c r="I4" s="10"/>
      <c r="J4" s="11" t="s">
        <v>9</v>
      </c>
      <c r="K4" s="12" t="s">
        <v>10</v>
      </c>
      <c r="L4" s="58" t="s">
        <v>11</v>
      </c>
      <c r="M4" s="58"/>
      <c r="N4" s="58"/>
      <c r="O4" s="58"/>
      <c r="P4" s="11" t="s">
        <v>12</v>
      </c>
      <c r="Q4" s="58" t="s">
        <v>660</v>
      </c>
      <c r="R4" s="58"/>
      <c r="S4" s="11" t="s">
        <v>14</v>
      </c>
      <c r="T4" s="58"/>
      <c r="U4" s="59"/>
    </row>
    <row r="5" spans="1:21" ht="15.75" customHeight="1" x14ac:dyDescent="0.2">
      <c r="B5" s="54" t="s">
        <v>15</v>
      </c>
      <c r="C5" s="55"/>
      <c r="D5" s="55"/>
      <c r="E5" s="55"/>
      <c r="F5" s="55"/>
      <c r="G5" s="55"/>
      <c r="H5" s="55"/>
      <c r="I5" s="55"/>
      <c r="J5" s="55"/>
      <c r="K5" s="55"/>
      <c r="L5" s="55"/>
      <c r="M5" s="55"/>
      <c r="N5" s="55"/>
      <c r="O5" s="55"/>
      <c r="P5" s="55"/>
      <c r="Q5" s="55"/>
      <c r="R5" s="55"/>
      <c r="S5" s="55"/>
      <c r="T5" s="55"/>
      <c r="U5" s="56"/>
    </row>
    <row r="6" spans="1:21" ht="37.5" customHeight="1" thickBot="1" x14ac:dyDescent="0.25">
      <c r="B6" s="13" t="s">
        <v>16</v>
      </c>
      <c r="C6" s="60" t="s">
        <v>17</v>
      </c>
      <c r="D6" s="60"/>
      <c r="E6" s="60"/>
      <c r="F6" s="60"/>
      <c r="G6" s="60"/>
      <c r="H6" s="14"/>
      <c r="I6" s="14"/>
      <c r="J6" s="14" t="s">
        <v>18</v>
      </c>
      <c r="K6" s="60" t="s">
        <v>19</v>
      </c>
      <c r="L6" s="60"/>
      <c r="M6" s="60"/>
      <c r="N6" s="15"/>
      <c r="O6" s="16" t="s">
        <v>20</v>
      </c>
      <c r="P6" s="60" t="s">
        <v>524</v>
      </c>
      <c r="Q6" s="60"/>
      <c r="R6" s="17"/>
      <c r="S6" s="16" t="s">
        <v>22</v>
      </c>
      <c r="T6" s="60" t="s">
        <v>586</v>
      </c>
      <c r="U6" s="61"/>
    </row>
    <row r="7" spans="1:21" ht="14.25" customHeight="1" thickTop="1" thickBot="1" x14ac:dyDescent="0.25">
      <c r="B7" s="4" t="s">
        <v>24</v>
      </c>
      <c r="C7" s="5"/>
      <c r="D7" s="5"/>
      <c r="E7" s="5"/>
      <c r="F7" s="5"/>
      <c r="G7" s="5"/>
      <c r="H7" s="6"/>
      <c r="I7" s="6"/>
      <c r="J7" s="6"/>
      <c r="K7" s="6"/>
      <c r="L7" s="6"/>
      <c r="M7" s="6"/>
      <c r="N7" s="6"/>
      <c r="O7" s="6"/>
      <c r="P7" s="6"/>
      <c r="Q7" s="6"/>
      <c r="R7" s="6"/>
      <c r="S7" s="6"/>
      <c r="T7" s="6"/>
      <c r="U7" s="7"/>
    </row>
    <row r="8" spans="1:21" ht="16.5" customHeight="1" thickTop="1" x14ac:dyDescent="0.2">
      <c r="B8" s="62" t="s">
        <v>25</v>
      </c>
      <c r="C8" s="65" t="s">
        <v>26</v>
      </c>
      <c r="D8" s="66"/>
      <c r="E8" s="66"/>
      <c r="F8" s="66"/>
      <c r="G8" s="66"/>
      <c r="H8" s="67"/>
      <c r="I8" s="74" t="s">
        <v>27</v>
      </c>
      <c r="J8" s="75"/>
      <c r="K8" s="75"/>
      <c r="L8" s="75"/>
      <c r="M8" s="75"/>
      <c r="N8" s="75"/>
      <c r="O8" s="75"/>
      <c r="P8" s="75"/>
      <c r="Q8" s="75"/>
      <c r="R8" s="75"/>
      <c r="S8" s="76"/>
      <c r="T8" s="77" t="s">
        <v>28</v>
      </c>
      <c r="U8" s="78"/>
    </row>
    <row r="9" spans="1:21" ht="19.5" customHeight="1" x14ac:dyDescent="0.2">
      <c r="B9" s="63"/>
      <c r="C9" s="68"/>
      <c r="D9" s="69"/>
      <c r="E9" s="69"/>
      <c r="F9" s="69"/>
      <c r="G9" s="69"/>
      <c r="H9" s="70"/>
      <c r="I9" s="79" t="s">
        <v>29</v>
      </c>
      <c r="J9" s="80"/>
      <c r="K9" s="80"/>
      <c r="L9" s="80" t="s">
        <v>30</v>
      </c>
      <c r="M9" s="80"/>
      <c r="N9" s="80"/>
      <c r="O9" s="80"/>
      <c r="P9" s="80" t="s">
        <v>31</v>
      </c>
      <c r="Q9" s="80" t="s">
        <v>32</v>
      </c>
      <c r="R9" s="83" t="s">
        <v>33</v>
      </c>
      <c r="S9" s="84"/>
      <c r="T9" s="80" t="s">
        <v>34</v>
      </c>
      <c r="U9" s="85" t="s">
        <v>35</v>
      </c>
    </row>
    <row r="10" spans="1:21" ht="26.25" customHeight="1" thickBot="1" x14ac:dyDescent="0.25">
      <c r="B10" s="64"/>
      <c r="C10" s="71"/>
      <c r="D10" s="72"/>
      <c r="E10" s="72"/>
      <c r="F10" s="72"/>
      <c r="G10" s="72"/>
      <c r="H10" s="73"/>
      <c r="I10" s="81"/>
      <c r="J10" s="82"/>
      <c r="K10" s="82"/>
      <c r="L10" s="82"/>
      <c r="M10" s="82"/>
      <c r="N10" s="82"/>
      <c r="O10" s="82"/>
      <c r="P10" s="82"/>
      <c r="Q10" s="82"/>
      <c r="R10" s="19" t="s">
        <v>36</v>
      </c>
      <c r="S10" s="20" t="s">
        <v>37</v>
      </c>
      <c r="T10" s="82"/>
      <c r="U10" s="86"/>
    </row>
    <row r="11" spans="1:21" ht="128.25" customHeight="1" thickTop="1" thickBot="1" x14ac:dyDescent="0.25">
      <c r="A11" s="21"/>
      <c r="B11" s="22" t="s">
        <v>38</v>
      </c>
      <c r="C11" s="87" t="s">
        <v>661</v>
      </c>
      <c r="D11" s="87"/>
      <c r="E11" s="87"/>
      <c r="F11" s="87"/>
      <c r="G11" s="87"/>
      <c r="H11" s="87"/>
      <c r="I11" s="87" t="s">
        <v>662</v>
      </c>
      <c r="J11" s="87"/>
      <c r="K11" s="87"/>
      <c r="L11" s="87" t="s">
        <v>663</v>
      </c>
      <c r="M11" s="87"/>
      <c r="N11" s="87"/>
      <c r="O11" s="87"/>
      <c r="P11" s="23" t="s">
        <v>48</v>
      </c>
      <c r="Q11" s="23" t="s">
        <v>43</v>
      </c>
      <c r="R11" s="23">
        <v>72.34</v>
      </c>
      <c r="S11" s="23">
        <v>72.34</v>
      </c>
      <c r="T11" s="23">
        <v>72.3</v>
      </c>
      <c r="U11" s="45">
        <f>100</f>
        <v>100</v>
      </c>
    </row>
    <row r="12" spans="1:21" ht="110.25" customHeight="1" thickTop="1" thickBot="1" x14ac:dyDescent="0.25">
      <c r="A12" s="21"/>
      <c r="B12" s="22" t="s">
        <v>44</v>
      </c>
      <c r="C12" s="87" t="s">
        <v>664</v>
      </c>
      <c r="D12" s="87"/>
      <c r="E12" s="87"/>
      <c r="F12" s="87"/>
      <c r="G12" s="87"/>
      <c r="H12" s="87"/>
      <c r="I12" s="87" t="s">
        <v>665</v>
      </c>
      <c r="J12" s="87"/>
      <c r="K12" s="87"/>
      <c r="L12" s="87" t="s">
        <v>666</v>
      </c>
      <c r="M12" s="87"/>
      <c r="N12" s="87"/>
      <c r="O12" s="87"/>
      <c r="P12" s="23" t="s">
        <v>48</v>
      </c>
      <c r="Q12" s="23" t="s">
        <v>43</v>
      </c>
      <c r="R12" s="23">
        <v>64</v>
      </c>
      <c r="S12" s="23">
        <v>64</v>
      </c>
      <c r="T12" s="104">
        <v>67.92</v>
      </c>
      <c r="U12" s="105">
        <v>106.13</v>
      </c>
    </row>
    <row r="13" spans="1:21" ht="75" customHeight="1" thickTop="1" x14ac:dyDescent="0.2">
      <c r="A13" s="21"/>
      <c r="B13" s="22" t="s">
        <v>50</v>
      </c>
      <c r="C13" s="87" t="s">
        <v>667</v>
      </c>
      <c r="D13" s="87"/>
      <c r="E13" s="87"/>
      <c r="F13" s="87"/>
      <c r="G13" s="87"/>
      <c r="H13" s="87"/>
      <c r="I13" s="87" t="s">
        <v>668</v>
      </c>
      <c r="J13" s="87"/>
      <c r="K13" s="87"/>
      <c r="L13" s="87" t="s">
        <v>669</v>
      </c>
      <c r="M13" s="87"/>
      <c r="N13" s="87"/>
      <c r="O13" s="87"/>
      <c r="P13" s="23" t="s">
        <v>48</v>
      </c>
      <c r="Q13" s="23" t="s">
        <v>43</v>
      </c>
      <c r="R13" s="23">
        <v>4</v>
      </c>
      <c r="S13" s="23">
        <v>4</v>
      </c>
      <c r="T13" s="23">
        <v>6.7</v>
      </c>
      <c r="U13" s="45">
        <f>167.5</f>
        <v>167.5</v>
      </c>
    </row>
    <row r="14" spans="1:21" ht="129" customHeight="1" x14ac:dyDescent="0.2">
      <c r="A14" s="21"/>
      <c r="B14" s="24" t="s">
        <v>55</v>
      </c>
      <c r="C14" s="88" t="s">
        <v>670</v>
      </c>
      <c r="D14" s="88"/>
      <c r="E14" s="88"/>
      <c r="F14" s="88"/>
      <c r="G14" s="88"/>
      <c r="H14" s="88"/>
      <c r="I14" s="88" t="s">
        <v>671</v>
      </c>
      <c r="J14" s="88"/>
      <c r="K14" s="88"/>
      <c r="L14" s="88" t="s">
        <v>672</v>
      </c>
      <c r="M14" s="88"/>
      <c r="N14" s="88"/>
      <c r="O14" s="88"/>
      <c r="P14" s="25" t="s">
        <v>48</v>
      </c>
      <c r="Q14" s="25" t="s">
        <v>43</v>
      </c>
      <c r="R14" s="25">
        <v>64.97</v>
      </c>
      <c r="S14" s="25">
        <v>64.97</v>
      </c>
      <c r="T14" s="25">
        <v>71.099999999999994</v>
      </c>
      <c r="U14" s="46">
        <f>109.4</f>
        <v>109.4</v>
      </c>
    </row>
    <row r="15" spans="1:21" ht="75" customHeight="1" thickBot="1" x14ac:dyDescent="0.25">
      <c r="A15" s="21"/>
      <c r="B15" s="24" t="s">
        <v>55</v>
      </c>
      <c r="C15" s="88" t="s">
        <v>673</v>
      </c>
      <c r="D15" s="88"/>
      <c r="E15" s="88"/>
      <c r="F15" s="88"/>
      <c r="G15" s="88"/>
      <c r="H15" s="88"/>
      <c r="I15" s="88" t="s">
        <v>674</v>
      </c>
      <c r="J15" s="88"/>
      <c r="K15" s="88"/>
      <c r="L15" s="88" t="s">
        <v>675</v>
      </c>
      <c r="M15" s="88"/>
      <c r="N15" s="88"/>
      <c r="O15" s="88"/>
      <c r="P15" s="25" t="s">
        <v>48</v>
      </c>
      <c r="Q15" s="25" t="s">
        <v>43</v>
      </c>
      <c r="R15" s="25">
        <v>70.41</v>
      </c>
      <c r="S15" s="25">
        <v>70.41</v>
      </c>
      <c r="T15" s="25">
        <v>95.9</v>
      </c>
      <c r="U15" s="46">
        <f>136.2</f>
        <v>136.19999999999999</v>
      </c>
    </row>
    <row r="16" spans="1:21" ht="90" customHeight="1" thickTop="1" x14ac:dyDescent="0.2">
      <c r="A16" s="21"/>
      <c r="B16" s="22" t="s">
        <v>61</v>
      </c>
      <c r="C16" s="87" t="s">
        <v>676</v>
      </c>
      <c r="D16" s="87"/>
      <c r="E16" s="87"/>
      <c r="F16" s="87"/>
      <c r="G16" s="87"/>
      <c r="H16" s="87"/>
      <c r="I16" s="87" t="s">
        <v>677</v>
      </c>
      <c r="J16" s="87"/>
      <c r="K16" s="87"/>
      <c r="L16" s="87" t="s">
        <v>678</v>
      </c>
      <c r="M16" s="87"/>
      <c r="N16" s="87"/>
      <c r="O16" s="87"/>
      <c r="P16" s="23" t="s">
        <v>48</v>
      </c>
      <c r="Q16" s="23" t="s">
        <v>535</v>
      </c>
      <c r="R16" s="23">
        <v>45.26</v>
      </c>
      <c r="S16" s="23">
        <v>45.26</v>
      </c>
      <c r="T16" s="23">
        <v>45.7</v>
      </c>
      <c r="U16" s="45">
        <f>101</f>
        <v>101</v>
      </c>
    </row>
    <row r="17" spans="1:22" ht="75" customHeight="1" x14ac:dyDescent="0.2">
      <c r="A17" s="21"/>
      <c r="B17" s="24" t="s">
        <v>55</v>
      </c>
      <c r="C17" s="88" t="s">
        <v>679</v>
      </c>
      <c r="D17" s="88"/>
      <c r="E17" s="88"/>
      <c r="F17" s="88"/>
      <c r="G17" s="88"/>
      <c r="H17" s="88"/>
      <c r="I17" s="88" t="s">
        <v>680</v>
      </c>
      <c r="J17" s="88"/>
      <c r="K17" s="88"/>
      <c r="L17" s="88" t="s">
        <v>681</v>
      </c>
      <c r="M17" s="88"/>
      <c r="N17" s="88"/>
      <c r="O17" s="88"/>
      <c r="P17" s="25" t="s">
        <v>48</v>
      </c>
      <c r="Q17" s="25" t="s">
        <v>71</v>
      </c>
      <c r="R17" s="25">
        <v>40.1</v>
      </c>
      <c r="S17" s="25">
        <v>40.1</v>
      </c>
      <c r="T17" s="25">
        <v>50.2</v>
      </c>
      <c r="U17" s="46">
        <f>125.2</f>
        <v>125.2</v>
      </c>
    </row>
    <row r="18" spans="1:22" ht="75" customHeight="1" x14ac:dyDescent="0.2">
      <c r="A18" s="21"/>
      <c r="B18" s="24" t="s">
        <v>55</v>
      </c>
      <c r="C18" s="88" t="s">
        <v>682</v>
      </c>
      <c r="D18" s="88"/>
      <c r="E18" s="88"/>
      <c r="F18" s="88"/>
      <c r="G18" s="88"/>
      <c r="H18" s="88"/>
      <c r="I18" s="88" t="s">
        <v>683</v>
      </c>
      <c r="J18" s="88"/>
      <c r="K18" s="88"/>
      <c r="L18" s="88" t="s">
        <v>684</v>
      </c>
      <c r="M18" s="88"/>
      <c r="N18" s="88"/>
      <c r="O18" s="88"/>
      <c r="P18" s="25" t="s">
        <v>48</v>
      </c>
      <c r="Q18" s="25" t="s">
        <v>71</v>
      </c>
      <c r="R18" s="25">
        <v>81</v>
      </c>
      <c r="S18" s="25">
        <v>81</v>
      </c>
      <c r="T18" s="25">
        <v>85.3</v>
      </c>
      <c r="U18" s="46">
        <f>105.3</f>
        <v>105.3</v>
      </c>
    </row>
    <row r="19" spans="1:22" ht="75" customHeight="1" x14ac:dyDescent="0.2">
      <c r="A19" s="21"/>
      <c r="B19" s="24" t="s">
        <v>55</v>
      </c>
      <c r="C19" s="88" t="s">
        <v>685</v>
      </c>
      <c r="D19" s="88"/>
      <c r="E19" s="88"/>
      <c r="F19" s="88"/>
      <c r="G19" s="88"/>
      <c r="H19" s="88"/>
      <c r="I19" s="88" t="s">
        <v>686</v>
      </c>
      <c r="J19" s="88"/>
      <c r="K19" s="88"/>
      <c r="L19" s="88" t="s">
        <v>687</v>
      </c>
      <c r="M19" s="88"/>
      <c r="N19" s="88"/>
      <c r="O19" s="88"/>
      <c r="P19" s="25" t="s">
        <v>48</v>
      </c>
      <c r="Q19" s="25" t="s">
        <v>71</v>
      </c>
      <c r="R19" s="25">
        <v>50</v>
      </c>
      <c r="S19" s="25">
        <v>50</v>
      </c>
      <c r="T19" s="25">
        <v>45.3</v>
      </c>
      <c r="U19" s="46">
        <f>90.6</f>
        <v>90.6</v>
      </c>
    </row>
    <row r="20" spans="1:22" ht="75" customHeight="1" x14ac:dyDescent="0.2">
      <c r="A20" s="21"/>
      <c r="B20" s="24" t="s">
        <v>55</v>
      </c>
      <c r="C20" s="88" t="s">
        <v>688</v>
      </c>
      <c r="D20" s="88"/>
      <c r="E20" s="88"/>
      <c r="F20" s="88"/>
      <c r="G20" s="88"/>
      <c r="H20" s="88"/>
      <c r="I20" s="88" t="s">
        <v>689</v>
      </c>
      <c r="J20" s="88"/>
      <c r="K20" s="88"/>
      <c r="L20" s="88" t="s">
        <v>690</v>
      </c>
      <c r="M20" s="88"/>
      <c r="N20" s="88"/>
      <c r="O20" s="88"/>
      <c r="P20" s="25" t="s">
        <v>48</v>
      </c>
      <c r="Q20" s="25" t="s">
        <v>71</v>
      </c>
      <c r="R20" s="25">
        <v>70.260000000000005</v>
      </c>
      <c r="S20" s="25">
        <v>70.260000000000005</v>
      </c>
      <c r="T20" s="25">
        <v>72.400000000000006</v>
      </c>
      <c r="U20" s="46">
        <f>103.1</f>
        <v>103.1</v>
      </c>
    </row>
    <row r="21" spans="1:22" ht="75" customHeight="1" thickBot="1" x14ac:dyDescent="0.25">
      <c r="A21" s="21"/>
      <c r="B21" s="24" t="s">
        <v>55</v>
      </c>
      <c r="C21" s="88" t="s">
        <v>691</v>
      </c>
      <c r="D21" s="88"/>
      <c r="E21" s="88"/>
      <c r="F21" s="88"/>
      <c r="G21" s="88"/>
      <c r="H21" s="88"/>
      <c r="I21" s="88" t="s">
        <v>692</v>
      </c>
      <c r="J21" s="88"/>
      <c r="K21" s="88"/>
      <c r="L21" s="88" t="s">
        <v>693</v>
      </c>
      <c r="M21" s="88"/>
      <c r="N21" s="88"/>
      <c r="O21" s="88"/>
      <c r="P21" s="25" t="s">
        <v>48</v>
      </c>
      <c r="Q21" s="25" t="s">
        <v>71</v>
      </c>
      <c r="R21" s="25">
        <v>70.260000000000005</v>
      </c>
      <c r="S21" s="25">
        <v>70.260000000000005</v>
      </c>
      <c r="T21" s="25">
        <v>82.8</v>
      </c>
      <c r="U21" s="46">
        <f>117.8</f>
        <v>117.8</v>
      </c>
    </row>
    <row r="22" spans="1:22" ht="14.25" customHeight="1" thickTop="1" thickBot="1" x14ac:dyDescent="0.25">
      <c r="B22" s="4" t="s">
        <v>80</v>
      </c>
      <c r="C22" s="5"/>
      <c r="D22" s="5"/>
      <c r="E22" s="5"/>
      <c r="F22" s="5"/>
      <c r="G22" s="5"/>
      <c r="H22" s="6"/>
      <c r="I22" s="6"/>
      <c r="J22" s="6"/>
      <c r="K22" s="6"/>
      <c r="L22" s="6"/>
      <c r="M22" s="6"/>
      <c r="N22" s="6"/>
      <c r="O22" s="6"/>
      <c r="P22" s="6"/>
      <c r="Q22" s="6"/>
      <c r="R22" s="6"/>
      <c r="S22" s="6"/>
      <c r="T22" s="6"/>
      <c r="U22" s="7"/>
      <c r="V22" s="26"/>
    </row>
    <row r="23" spans="1:22" ht="26.25" customHeight="1" thickTop="1" x14ac:dyDescent="0.2">
      <c r="B23" s="27"/>
      <c r="C23" s="28"/>
      <c r="D23" s="28"/>
      <c r="E23" s="28"/>
      <c r="F23" s="28"/>
      <c r="G23" s="28"/>
      <c r="H23" s="29"/>
      <c r="I23" s="29"/>
      <c r="J23" s="29"/>
      <c r="K23" s="29"/>
      <c r="L23" s="29"/>
      <c r="M23" s="29"/>
      <c r="N23" s="29"/>
      <c r="O23" s="29"/>
      <c r="P23" s="29"/>
      <c r="Q23" s="29"/>
      <c r="R23" s="30"/>
      <c r="S23" s="31" t="s">
        <v>33</v>
      </c>
      <c r="T23" s="31" t="s">
        <v>81</v>
      </c>
      <c r="U23" s="18" t="s">
        <v>82</v>
      </c>
    </row>
    <row r="24" spans="1:22" ht="26.25" customHeight="1" thickBot="1" x14ac:dyDescent="0.25">
      <c r="B24" s="32"/>
      <c r="C24" s="33"/>
      <c r="D24" s="33"/>
      <c r="E24" s="33"/>
      <c r="F24" s="33"/>
      <c r="G24" s="33"/>
      <c r="H24" s="34"/>
      <c r="I24" s="34"/>
      <c r="J24" s="34"/>
      <c r="K24" s="34"/>
      <c r="L24" s="34"/>
      <c r="M24" s="34"/>
      <c r="N24" s="34"/>
      <c r="O24" s="34"/>
      <c r="P24" s="34"/>
      <c r="Q24" s="34"/>
      <c r="R24" s="34"/>
      <c r="S24" s="35" t="s">
        <v>83</v>
      </c>
      <c r="T24" s="36" t="s">
        <v>83</v>
      </c>
      <c r="U24" s="36" t="s">
        <v>84</v>
      </c>
    </row>
    <row r="25" spans="1:22" ht="13.5" customHeight="1" thickBot="1" x14ac:dyDescent="0.25">
      <c r="B25" s="92" t="s">
        <v>85</v>
      </c>
      <c r="C25" s="93"/>
      <c r="D25" s="93"/>
      <c r="E25" s="37"/>
      <c r="F25" s="37"/>
      <c r="G25" s="37"/>
      <c r="H25" s="38"/>
      <c r="I25" s="38"/>
      <c r="J25" s="38"/>
      <c r="K25" s="38"/>
      <c r="L25" s="38"/>
      <c r="M25" s="38"/>
      <c r="N25" s="38"/>
      <c r="O25" s="38"/>
      <c r="P25" s="39"/>
      <c r="Q25" s="39"/>
      <c r="R25" s="39"/>
      <c r="S25" s="48">
        <v>299.54622499999999</v>
      </c>
      <c r="T25" s="48">
        <v>264.05822725000002</v>
      </c>
      <c r="U25" s="49">
        <f>+IF(ISERR(T25/S25*100),"N/A",ROUND(T25/S25*100,1))</f>
        <v>88.2</v>
      </c>
    </row>
    <row r="26" spans="1:22" ht="13.5" customHeight="1" thickBot="1" x14ac:dyDescent="0.25">
      <c r="B26" s="94" t="s">
        <v>86</v>
      </c>
      <c r="C26" s="95"/>
      <c r="D26" s="95"/>
      <c r="E26" s="40"/>
      <c r="F26" s="40"/>
      <c r="G26" s="40"/>
      <c r="H26" s="41"/>
      <c r="I26" s="41"/>
      <c r="J26" s="41"/>
      <c r="K26" s="41"/>
      <c r="L26" s="41"/>
      <c r="M26" s="41"/>
      <c r="N26" s="41"/>
      <c r="O26" s="41"/>
      <c r="P26" s="42"/>
      <c r="Q26" s="42"/>
      <c r="R26" s="42"/>
      <c r="S26" s="48">
        <v>264.05822725000002</v>
      </c>
      <c r="T26" s="48">
        <v>264.05822725000002</v>
      </c>
      <c r="U26" s="49">
        <f>+IF(ISERR(T26/S26*100),"N/A",ROUND(T26/S26*100,1))</f>
        <v>100</v>
      </c>
    </row>
    <row r="27" spans="1:22" ht="14.85" customHeight="1" thickTop="1" thickBot="1" x14ac:dyDescent="0.25">
      <c r="B27" s="4" t="s">
        <v>87</v>
      </c>
      <c r="C27" s="5"/>
      <c r="D27" s="5"/>
      <c r="E27" s="5"/>
      <c r="F27" s="5"/>
      <c r="G27" s="5"/>
      <c r="H27" s="6"/>
      <c r="I27" s="6"/>
      <c r="J27" s="6"/>
      <c r="K27" s="6"/>
      <c r="L27" s="6"/>
      <c r="M27" s="6"/>
      <c r="N27" s="6"/>
      <c r="O27" s="6"/>
      <c r="P27" s="6"/>
      <c r="Q27" s="6"/>
      <c r="R27" s="6"/>
      <c r="S27" s="6"/>
      <c r="T27" s="6"/>
      <c r="U27" s="7"/>
    </row>
    <row r="28" spans="1:22" ht="44.25" customHeight="1" thickTop="1" x14ac:dyDescent="0.2">
      <c r="B28" s="89" t="s">
        <v>88</v>
      </c>
      <c r="C28" s="90"/>
      <c r="D28" s="90"/>
      <c r="E28" s="90"/>
      <c r="F28" s="90"/>
      <c r="G28" s="90"/>
      <c r="H28" s="90"/>
      <c r="I28" s="90"/>
      <c r="J28" s="90"/>
      <c r="K28" s="90"/>
      <c r="L28" s="90"/>
      <c r="M28" s="90"/>
      <c r="N28" s="90"/>
      <c r="O28" s="90"/>
      <c r="P28" s="90"/>
      <c r="Q28" s="90"/>
      <c r="R28" s="90"/>
      <c r="S28" s="90"/>
      <c r="T28" s="90"/>
      <c r="U28" s="91"/>
    </row>
    <row r="29" spans="1:22" ht="94.5" customHeight="1" x14ac:dyDescent="0.2">
      <c r="B29" s="96" t="s">
        <v>694</v>
      </c>
      <c r="C29" s="97"/>
      <c r="D29" s="97"/>
      <c r="E29" s="97"/>
      <c r="F29" s="97"/>
      <c r="G29" s="97"/>
      <c r="H29" s="97"/>
      <c r="I29" s="97"/>
      <c r="J29" s="97"/>
      <c r="K29" s="97"/>
      <c r="L29" s="97"/>
      <c r="M29" s="97"/>
      <c r="N29" s="97"/>
      <c r="O29" s="97"/>
      <c r="P29" s="97"/>
      <c r="Q29" s="97"/>
      <c r="R29" s="97"/>
      <c r="S29" s="97"/>
      <c r="T29" s="97"/>
      <c r="U29" s="98"/>
    </row>
    <row r="30" spans="1:22" ht="132.75" customHeight="1" x14ac:dyDescent="0.2">
      <c r="B30" s="96" t="s">
        <v>695</v>
      </c>
      <c r="C30" s="97"/>
      <c r="D30" s="97"/>
      <c r="E30" s="97"/>
      <c r="F30" s="97"/>
      <c r="G30" s="97"/>
      <c r="H30" s="97"/>
      <c r="I30" s="97"/>
      <c r="J30" s="97"/>
      <c r="K30" s="97"/>
      <c r="L30" s="97"/>
      <c r="M30" s="97"/>
      <c r="N30" s="97"/>
      <c r="O30" s="97"/>
      <c r="P30" s="97"/>
      <c r="Q30" s="97"/>
      <c r="R30" s="97"/>
      <c r="S30" s="97"/>
      <c r="T30" s="97"/>
      <c r="U30" s="98"/>
    </row>
    <row r="31" spans="1:22" ht="61.5" customHeight="1" x14ac:dyDescent="0.2">
      <c r="B31" s="96" t="s">
        <v>696</v>
      </c>
      <c r="C31" s="97"/>
      <c r="D31" s="97"/>
      <c r="E31" s="97"/>
      <c r="F31" s="97"/>
      <c r="G31" s="97"/>
      <c r="H31" s="97"/>
      <c r="I31" s="97"/>
      <c r="J31" s="97"/>
      <c r="K31" s="97"/>
      <c r="L31" s="97"/>
      <c r="M31" s="97"/>
      <c r="N31" s="97"/>
      <c r="O31" s="97"/>
      <c r="P31" s="97"/>
      <c r="Q31" s="97"/>
      <c r="R31" s="97"/>
      <c r="S31" s="97"/>
      <c r="T31" s="97"/>
      <c r="U31" s="98"/>
    </row>
    <row r="32" spans="1:22" ht="76.5" customHeight="1" x14ac:dyDescent="0.2">
      <c r="B32" s="96" t="s">
        <v>697</v>
      </c>
      <c r="C32" s="97"/>
      <c r="D32" s="97"/>
      <c r="E32" s="97"/>
      <c r="F32" s="97"/>
      <c r="G32" s="97"/>
      <c r="H32" s="97"/>
      <c r="I32" s="97"/>
      <c r="J32" s="97"/>
      <c r="K32" s="97"/>
      <c r="L32" s="97"/>
      <c r="M32" s="97"/>
      <c r="N32" s="97"/>
      <c r="O32" s="97"/>
      <c r="P32" s="97"/>
      <c r="Q32" s="97"/>
      <c r="R32" s="97"/>
      <c r="S32" s="97"/>
      <c r="T32" s="97"/>
      <c r="U32" s="98"/>
    </row>
    <row r="33" spans="2:21" ht="61.5" customHeight="1" x14ac:dyDescent="0.2">
      <c r="B33" s="96" t="s">
        <v>698</v>
      </c>
      <c r="C33" s="97"/>
      <c r="D33" s="97"/>
      <c r="E33" s="97"/>
      <c r="F33" s="97"/>
      <c r="G33" s="97"/>
      <c r="H33" s="97"/>
      <c r="I33" s="97"/>
      <c r="J33" s="97"/>
      <c r="K33" s="97"/>
      <c r="L33" s="97"/>
      <c r="M33" s="97"/>
      <c r="N33" s="97"/>
      <c r="O33" s="97"/>
      <c r="P33" s="97"/>
      <c r="Q33" s="97"/>
      <c r="R33" s="97"/>
      <c r="S33" s="97"/>
      <c r="T33" s="97"/>
      <c r="U33" s="98"/>
    </row>
    <row r="34" spans="2:21" ht="61.5" customHeight="1" x14ac:dyDescent="0.2">
      <c r="B34" s="96" t="s">
        <v>699</v>
      </c>
      <c r="C34" s="97"/>
      <c r="D34" s="97"/>
      <c r="E34" s="97"/>
      <c r="F34" s="97"/>
      <c r="G34" s="97"/>
      <c r="H34" s="97"/>
      <c r="I34" s="97"/>
      <c r="J34" s="97"/>
      <c r="K34" s="97"/>
      <c r="L34" s="97"/>
      <c r="M34" s="97"/>
      <c r="N34" s="97"/>
      <c r="O34" s="97"/>
      <c r="P34" s="97"/>
      <c r="Q34" s="97"/>
      <c r="R34" s="97"/>
      <c r="S34" s="97"/>
      <c r="T34" s="97"/>
      <c r="U34" s="98"/>
    </row>
    <row r="35" spans="2:21" ht="61.5" customHeight="1" x14ac:dyDescent="0.2">
      <c r="B35" s="96" t="s">
        <v>700</v>
      </c>
      <c r="C35" s="97"/>
      <c r="D35" s="97"/>
      <c r="E35" s="97"/>
      <c r="F35" s="97"/>
      <c r="G35" s="97"/>
      <c r="H35" s="97"/>
      <c r="I35" s="97"/>
      <c r="J35" s="97"/>
      <c r="K35" s="97"/>
      <c r="L35" s="97"/>
      <c r="M35" s="97"/>
      <c r="N35" s="97"/>
      <c r="O35" s="97"/>
      <c r="P35" s="97"/>
      <c r="Q35" s="97"/>
      <c r="R35" s="97"/>
      <c r="S35" s="97"/>
      <c r="T35" s="97"/>
      <c r="U35" s="98"/>
    </row>
    <row r="36" spans="2:21" ht="61.5" customHeight="1" x14ac:dyDescent="0.2">
      <c r="B36" s="96" t="s">
        <v>701</v>
      </c>
      <c r="C36" s="97"/>
      <c r="D36" s="97"/>
      <c r="E36" s="97"/>
      <c r="F36" s="97"/>
      <c r="G36" s="97"/>
      <c r="H36" s="97"/>
      <c r="I36" s="97"/>
      <c r="J36" s="97"/>
      <c r="K36" s="97"/>
      <c r="L36" s="97"/>
      <c r="M36" s="97"/>
      <c r="N36" s="97"/>
      <c r="O36" s="97"/>
      <c r="P36" s="97"/>
      <c r="Q36" s="97"/>
      <c r="R36" s="97"/>
      <c r="S36" s="97"/>
      <c r="T36" s="97"/>
      <c r="U36" s="98"/>
    </row>
    <row r="37" spans="2:21" ht="47.25" customHeight="1" x14ac:dyDescent="0.2">
      <c r="B37" s="96" t="s">
        <v>702</v>
      </c>
      <c r="C37" s="97"/>
      <c r="D37" s="97"/>
      <c r="E37" s="97"/>
      <c r="F37" s="97"/>
      <c r="G37" s="97"/>
      <c r="H37" s="97"/>
      <c r="I37" s="97"/>
      <c r="J37" s="97"/>
      <c r="K37" s="97"/>
      <c r="L37" s="97"/>
      <c r="M37" s="97"/>
      <c r="N37" s="97"/>
      <c r="O37" s="97"/>
      <c r="P37" s="97"/>
      <c r="Q37" s="97"/>
      <c r="R37" s="97"/>
      <c r="S37" s="97"/>
      <c r="T37" s="97"/>
      <c r="U37" s="98"/>
    </row>
    <row r="38" spans="2:21" ht="47.25" customHeight="1" x14ac:dyDescent="0.2">
      <c r="B38" s="96" t="s">
        <v>703</v>
      </c>
      <c r="C38" s="97"/>
      <c r="D38" s="97"/>
      <c r="E38" s="97"/>
      <c r="F38" s="97"/>
      <c r="G38" s="97"/>
      <c r="H38" s="97"/>
      <c r="I38" s="97"/>
      <c r="J38" s="97"/>
      <c r="K38" s="97"/>
      <c r="L38" s="97"/>
      <c r="M38" s="97"/>
      <c r="N38" s="97"/>
      <c r="O38" s="97"/>
      <c r="P38" s="97"/>
      <c r="Q38" s="97"/>
      <c r="R38" s="97"/>
      <c r="S38" s="97"/>
      <c r="T38" s="97"/>
      <c r="U38" s="98"/>
    </row>
    <row r="39" spans="2:21" ht="47.25" customHeight="1" thickBot="1" x14ac:dyDescent="0.25">
      <c r="B39" s="99" t="s">
        <v>704</v>
      </c>
      <c r="C39" s="100"/>
      <c r="D39" s="100"/>
      <c r="E39" s="100"/>
      <c r="F39" s="100"/>
      <c r="G39" s="100"/>
      <c r="H39" s="100"/>
      <c r="I39" s="100"/>
      <c r="J39" s="100"/>
      <c r="K39" s="100"/>
      <c r="L39" s="100"/>
      <c r="M39" s="100"/>
      <c r="N39" s="100"/>
      <c r="O39" s="100"/>
      <c r="P39" s="100"/>
      <c r="Q39" s="100"/>
      <c r="R39" s="100"/>
      <c r="S39" s="100"/>
      <c r="T39" s="100"/>
      <c r="U39" s="101"/>
    </row>
  </sheetData>
  <mergeCells count="68">
    <mergeCell ref="B38:U38"/>
    <mergeCell ref="B39:U39"/>
    <mergeCell ref="B32:U32"/>
    <mergeCell ref="B33:U33"/>
    <mergeCell ref="B34:U34"/>
    <mergeCell ref="B35:U35"/>
    <mergeCell ref="B36:U36"/>
    <mergeCell ref="B37:U37"/>
    <mergeCell ref="B31:U31"/>
    <mergeCell ref="C20:H20"/>
    <mergeCell ref="I20:K20"/>
    <mergeCell ref="L20:O20"/>
    <mergeCell ref="C21:H21"/>
    <mergeCell ref="I21:K21"/>
    <mergeCell ref="L21:O21"/>
    <mergeCell ref="B25:D25"/>
    <mergeCell ref="B26:D26"/>
    <mergeCell ref="B28:U28"/>
    <mergeCell ref="B29:U29"/>
    <mergeCell ref="B30:U30"/>
    <mergeCell ref="C18:H18"/>
    <mergeCell ref="I18:K18"/>
    <mergeCell ref="L18:O18"/>
    <mergeCell ref="C19:H19"/>
    <mergeCell ref="I19:K19"/>
    <mergeCell ref="L19:O19"/>
    <mergeCell ref="C16:H16"/>
    <mergeCell ref="I16:K16"/>
    <mergeCell ref="L16:O16"/>
    <mergeCell ref="C17:H17"/>
    <mergeCell ref="I17:K17"/>
    <mergeCell ref="L17:O17"/>
    <mergeCell ref="C14:H14"/>
    <mergeCell ref="I14:K14"/>
    <mergeCell ref="L14:O14"/>
    <mergeCell ref="C15:H15"/>
    <mergeCell ref="I15:K15"/>
    <mergeCell ref="L15:O15"/>
    <mergeCell ref="C12:H12"/>
    <mergeCell ref="I12:K12"/>
    <mergeCell ref="L12:O12"/>
    <mergeCell ref="C13:H13"/>
    <mergeCell ref="I13:K13"/>
    <mergeCell ref="L13:O13"/>
    <mergeCell ref="C11:H11"/>
    <mergeCell ref="I11:K11"/>
    <mergeCell ref="L11:O11"/>
    <mergeCell ref="C6:G6"/>
    <mergeCell ref="K6:M6"/>
    <mergeCell ref="P6:Q6"/>
    <mergeCell ref="T6:U6"/>
    <mergeCell ref="B8:B10"/>
    <mergeCell ref="C8:H10"/>
    <mergeCell ref="I8:S8"/>
    <mergeCell ref="T8:U8"/>
    <mergeCell ref="I9:K10"/>
    <mergeCell ref="L9:O10"/>
    <mergeCell ref="P9:P10"/>
    <mergeCell ref="Q9:Q10"/>
    <mergeCell ref="R9:S9"/>
    <mergeCell ref="T9:T10"/>
    <mergeCell ref="U9:U10"/>
    <mergeCell ref="B5:U5"/>
    <mergeCell ref="B1:L1"/>
    <mergeCell ref="D4:H4"/>
    <mergeCell ref="L4:O4"/>
    <mergeCell ref="Q4:R4"/>
    <mergeCell ref="T4:U4"/>
  </mergeCells>
  <printOptions horizontalCentered="1"/>
  <pageMargins left="0.78740157480314965" right="0.78740157480314965" top="0.98425196850393704" bottom="0.98425196850393704" header="0" footer="0.39370078740157483"/>
  <pageSetup scale="60" fitToHeight="10" orientation="landscape" r:id="rId1"/>
  <headerFooter>
    <oddFooter>&amp;R&amp;P de &amp;N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29"/>
  <sheetViews>
    <sheetView view="pageBreakPreview" topLeftCell="D10" zoomScale="80" zoomScaleNormal="80" zoomScaleSheetLayoutView="80" workbookViewId="0">
      <selection activeCell="R12" sqref="R12:U12"/>
    </sheetView>
  </sheetViews>
  <sheetFormatPr baseColWidth="10" defaultColWidth="10" defaultRowHeight="12.75" x14ac:dyDescent="0.2"/>
  <cols>
    <col min="1" max="1" width="3.5" style="1" customWidth="1"/>
    <col min="2" max="2" width="14.7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9.625" style="1" customWidth="1"/>
    <col min="19" max="19" width="13" style="1" customWidth="1"/>
    <col min="20" max="20" width="10.75" style="1" customWidth="1"/>
    <col min="21" max="21" width="11.37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50" t="s">
        <v>0</v>
      </c>
      <c r="C1" s="50"/>
      <c r="D1" s="50"/>
      <c r="E1" s="50"/>
      <c r="F1" s="50"/>
      <c r="G1" s="50"/>
      <c r="H1" s="50"/>
      <c r="I1" s="50"/>
      <c r="J1" s="50"/>
      <c r="K1" s="50"/>
      <c r="L1" s="50"/>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51.75" customHeight="1" thickTop="1" x14ac:dyDescent="0.2">
      <c r="B4" s="8" t="s">
        <v>6</v>
      </c>
      <c r="C4" s="9" t="s">
        <v>705</v>
      </c>
      <c r="D4" s="57" t="s">
        <v>706</v>
      </c>
      <c r="E4" s="57"/>
      <c r="F4" s="57"/>
      <c r="G4" s="57"/>
      <c r="H4" s="57"/>
      <c r="I4" s="10"/>
      <c r="J4" s="11" t="s">
        <v>9</v>
      </c>
      <c r="K4" s="12" t="s">
        <v>10</v>
      </c>
      <c r="L4" s="58" t="s">
        <v>11</v>
      </c>
      <c r="M4" s="58"/>
      <c r="N4" s="58"/>
      <c r="O4" s="58"/>
      <c r="P4" s="11" t="s">
        <v>12</v>
      </c>
      <c r="Q4" s="58" t="s">
        <v>707</v>
      </c>
      <c r="R4" s="58"/>
      <c r="S4" s="11" t="s">
        <v>14</v>
      </c>
      <c r="T4" s="58" t="s">
        <v>465</v>
      </c>
      <c r="U4" s="59"/>
    </row>
    <row r="5" spans="1:21" ht="15.75" customHeight="1" x14ac:dyDescent="0.2">
      <c r="B5" s="54" t="s">
        <v>15</v>
      </c>
      <c r="C5" s="55"/>
      <c r="D5" s="55"/>
      <c r="E5" s="55"/>
      <c r="F5" s="55"/>
      <c r="G5" s="55"/>
      <c r="H5" s="55"/>
      <c r="I5" s="55"/>
      <c r="J5" s="55"/>
      <c r="K5" s="55"/>
      <c r="L5" s="55"/>
      <c r="M5" s="55"/>
      <c r="N5" s="55"/>
      <c r="O5" s="55"/>
      <c r="P5" s="55"/>
      <c r="Q5" s="55"/>
      <c r="R5" s="55"/>
      <c r="S5" s="55"/>
      <c r="T5" s="55"/>
      <c r="U5" s="56"/>
    </row>
    <row r="6" spans="1:21" ht="37.5" customHeight="1" thickBot="1" x14ac:dyDescent="0.25">
      <c r="B6" s="13" t="s">
        <v>16</v>
      </c>
      <c r="C6" s="60" t="s">
        <v>17</v>
      </c>
      <c r="D6" s="60"/>
      <c r="E6" s="60"/>
      <c r="F6" s="60"/>
      <c r="G6" s="60"/>
      <c r="H6" s="14"/>
      <c r="I6" s="14"/>
      <c r="J6" s="14" t="s">
        <v>18</v>
      </c>
      <c r="K6" s="60" t="s">
        <v>19</v>
      </c>
      <c r="L6" s="60"/>
      <c r="M6" s="60"/>
      <c r="N6" s="15"/>
      <c r="O6" s="16" t="s">
        <v>20</v>
      </c>
      <c r="P6" s="60" t="s">
        <v>324</v>
      </c>
      <c r="Q6" s="60"/>
      <c r="R6" s="17"/>
      <c r="S6" s="16" t="s">
        <v>22</v>
      </c>
      <c r="T6" s="60" t="s">
        <v>613</v>
      </c>
      <c r="U6" s="61"/>
    </row>
    <row r="7" spans="1:21" ht="14.25" customHeight="1" thickTop="1" thickBot="1" x14ac:dyDescent="0.25">
      <c r="B7" s="4" t="s">
        <v>24</v>
      </c>
      <c r="C7" s="5"/>
      <c r="D7" s="5"/>
      <c r="E7" s="5"/>
      <c r="F7" s="5"/>
      <c r="G7" s="5"/>
      <c r="H7" s="6"/>
      <c r="I7" s="6"/>
      <c r="J7" s="6"/>
      <c r="K7" s="6"/>
      <c r="L7" s="6"/>
      <c r="M7" s="6"/>
      <c r="N7" s="6"/>
      <c r="O7" s="6"/>
      <c r="P7" s="6"/>
      <c r="Q7" s="6"/>
      <c r="R7" s="6"/>
      <c r="S7" s="6"/>
      <c r="T7" s="6"/>
      <c r="U7" s="7"/>
    </row>
    <row r="8" spans="1:21" ht="16.5" customHeight="1" thickTop="1" x14ac:dyDescent="0.2">
      <c r="B8" s="62" t="s">
        <v>25</v>
      </c>
      <c r="C8" s="65" t="s">
        <v>26</v>
      </c>
      <c r="D8" s="66"/>
      <c r="E8" s="66"/>
      <c r="F8" s="66"/>
      <c r="G8" s="66"/>
      <c r="H8" s="67"/>
      <c r="I8" s="74" t="s">
        <v>27</v>
      </c>
      <c r="J8" s="75"/>
      <c r="K8" s="75"/>
      <c r="L8" s="75"/>
      <c r="M8" s="75"/>
      <c r="N8" s="75"/>
      <c r="O8" s="75"/>
      <c r="P8" s="75"/>
      <c r="Q8" s="75"/>
      <c r="R8" s="75"/>
      <c r="S8" s="76"/>
      <c r="T8" s="77" t="s">
        <v>28</v>
      </c>
      <c r="U8" s="78"/>
    </row>
    <row r="9" spans="1:21" ht="19.5" customHeight="1" x14ac:dyDescent="0.2">
      <c r="B9" s="63"/>
      <c r="C9" s="68"/>
      <c r="D9" s="69"/>
      <c r="E9" s="69"/>
      <c r="F9" s="69"/>
      <c r="G9" s="69"/>
      <c r="H9" s="70"/>
      <c r="I9" s="79" t="s">
        <v>29</v>
      </c>
      <c r="J9" s="80"/>
      <c r="K9" s="80"/>
      <c r="L9" s="80" t="s">
        <v>30</v>
      </c>
      <c r="M9" s="80"/>
      <c r="N9" s="80"/>
      <c r="O9" s="80"/>
      <c r="P9" s="80" t="s">
        <v>31</v>
      </c>
      <c r="Q9" s="80" t="s">
        <v>32</v>
      </c>
      <c r="R9" s="83" t="s">
        <v>33</v>
      </c>
      <c r="S9" s="84"/>
      <c r="T9" s="80" t="s">
        <v>34</v>
      </c>
      <c r="U9" s="85" t="s">
        <v>35</v>
      </c>
    </row>
    <row r="10" spans="1:21" ht="26.25" customHeight="1" thickBot="1" x14ac:dyDescent="0.25">
      <c r="B10" s="64"/>
      <c r="C10" s="71"/>
      <c r="D10" s="72"/>
      <c r="E10" s="72"/>
      <c r="F10" s="72"/>
      <c r="G10" s="72"/>
      <c r="H10" s="73"/>
      <c r="I10" s="81"/>
      <c r="J10" s="82"/>
      <c r="K10" s="82"/>
      <c r="L10" s="82"/>
      <c r="M10" s="82"/>
      <c r="N10" s="82"/>
      <c r="O10" s="82"/>
      <c r="P10" s="82"/>
      <c r="Q10" s="82"/>
      <c r="R10" s="19" t="s">
        <v>36</v>
      </c>
      <c r="S10" s="20" t="s">
        <v>37</v>
      </c>
      <c r="T10" s="82"/>
      <c r="U10" s="86"/>
    </row>
    <row r="11" spans="1:21" ht="98.25" customHeight="1" thickTop="1" thickBot="1" x14ac:dyDescent="0.25">
      <c r="A11" s="21"/>
      <c r="B11" s="22" t="s">
        <v>38</v>
      </c>
      <c r="C11" s="87" t="s">
        <v>708</v>
      </c>
      <c r="D11" s="87"/>
      <c r="E11" s="87"/>
      <c r="F11" s="87"/>
      <c r="G11" s="87"/>
      <c r="H11" s="87"/>
      <c r="I11" s="87" t="s">
        <v>709</v>
      </c>
      <c r="J11" s="87"/>
      <c r="K11" s="87"/>
      <c r="L11" s="87" t="s">
        <v>710</v>
      </c>
      <c r="M11" s="87"/>
      <c r="N11" s="87"/>
      <c r="O11" s="87"/>
      <c r="P11" s="23" t="s">
        <v>711</v>
      </c>
      <c r="Q11" s="23" t="s">
        <v>43</v>
      </c>
      <c r="R11" s="23">
        <v>100</v>
      </c>
      <c r="S11" s="23">
        <v>100</v>
      </c>
      <c r="T11" s="23">
        <v>188.45</v>
      </c>
      <c r="U11" s="45">
        <f>188.45</f>
        <v>188.45</v>
      </c>
    </row>
    <row r="12" spans="1:21" ht="108" customHeight="1" thickTop="1" thickBot="1" x14ac:dyDescent="0.25">
      <c r="A12" s="21"/>
      <c r="B12" s="22" t="s">
        <v>44</v>
      </c>
      <c r="C12" s="87" t="s">
        <v>712</v>
      </c>
      <c r="D12" s="87"/>
      <c r="E12" s="87"/>
      <c r="F12" s="87"/>
      <c r="G12" s="87"/>
      <c r="H12" s="87"/>
      <c r="I12" s="87" t="s">
        <v>713</v>
      </c>
      <c r="J12" s="87"/>
      <c r="K12" s="87"/>
      <c r="L12" s="87" t="s">
        <v>714</v>
      </c>
      <c r="M12" s="87"/>
      <c r="N12" s="87"/>
      <c r="O12" s="87"/>
      <c r="P12" s="23" t="s">
        <v>715</v>
      </c>
      <c r="Q12" s="23" t="s">
        <v>716</v>
      </c>
      <c r="R12" s="104">
        <v>90</v>
      </c>
      <c r="S12" s="104">
        <v>90</v>
      </c>
      <c r="T12" s="104">
        <v>108.62</v>
      </c>
      <c r="U12" s="105">
        <v>120.69</v>
      </c>
    </row>
    <row r="13" spans="1:21" ht="132" customHeight="1" thickTop="1" x14ac:dyDescent="0.2">
      <c r="A13" s="21"/>
      <c r="B13" s="22" t="s">
        <v>50</v>
      </c>
      <c r="C13" s="87" t="s">
        <v>717</v>
      </c>
      <c r="D13" s="87"/>
      <c r="E13" s="87"/>
      <c r="F13" s="87"/>
      <c r="G13" s="87"/>
      <c r="H13" s="87"/>
      <c r="I13" s="87" t="s">
        <v>718</v>
      </c>
      <c r="J13" s="87"/>
      <c r="K13" s="87"/>
      <c r="L13" s="87" t="s">
        <v>719</v>
      </c>
      <c r="M13" s="87"/>
      <c r="N13" s="87"/>
      <c r="O13" s="87"/>
      <c r="P13" s="23" t="s">
        <v>720</v>
      </c>
      <c r="Q13" s="23" t="s">
        <v>167</v>
      </c>
      <c r="R13" s="44">
        <v>3000</v>
      </c>
      <c r="S13" s="44">
        <v>3000</v>
      </c>
      <c r="T13" s="44">
        <v>3942</v>
      </c>
      <c r="U13" s="45">
        <f>131.4</f>
        <v>131.4</v>
      </c>
    </row>
    <row r="14" spans="1:21" ht="75" customHeight="1" thickBot="1" x14ac:dyDescent="0.25">
      <c r="A14" s="21"/>
      <c r="B14" s="24" t="s">
        <v>55</v>
      </c>
      <c r="C14" s="88" t="s">
        <v>721</v>
      </c>
      <c r="D14" s="88"/>
      <c r="E14" s="88"/>
      <c r="F14" s="88"/>
      <c r="G14" s="88"/>
      <c r="H14" s="88"/>
      <c r="I14" s="88" t="s">
        <v>722</v>
      </c>
      <c r="J14" s="88"/>
      <c r="K14" s="88"/>
      <c r="L14" s="88" t="s">
        <v>723</v>
      </c>
      <c r="M14" s="88"/>
      <c r="N14" s="88"/>
      <c r="O14" s="88"/>
      <c r="P14" s="25" t="s">
        <v>724</v>
      </c>
      <c r="Q14" s="25" t="s">
        <v>160</v>
      </c>
      <c r="R14" s="43">
        <v>15737</v>
      </c>
      <c r="S14" s="43">
        <v>15737</v>
      </c>
      <c r="T14" s="43">
        <v>17094</v>
      </c>
      <c r="U14" s="46">
        <f>108.62</f>
        <v>108.62</v>
      </c>
    </row>
    <row r="15" spans="1:21" ht="75" customHeight="1" thickTop="1" x14ac:dyDescent="0.2">
      <c r="A15" s="21"/>
      <c r="B15" s="22" t="s">
        <v>61</v>
      </c>
      <c r="C15" s="87" t="s">
        <v>725</v>
      </c>
      <c r="D15" s="87"/>
      <c r="E15" s="87"/>
      <c r="F15" s="87"/>
      <c r="G15" s="87"/>
      <c r="H15" s="87"/>
      <c r="I15" s="87" t="s">
        <v>726</v>
      </c>
      <c r="J15" s="87"/>
      <c r="K15" s="87"/>
      <c r="L15" s="87" t="s">
        <v>727</v>
      </c>
      <c r="M15" s="87"/>
      <c r="N15" s="87"/>
      <c r="O15" s="87"/>
      <c r="P15" s="23" t="s">
        <v>728</v>
      </c>
      <c r="Q15" s="23" t="s">
        <v>66</v>
      </c>
      <c r="R15" s="44">
        <v>8</v>
      </c>
      <c r="S15" s="44">
        <v>8</v>
      </c>
      <c r="T15" s="44">
        <v>8</v>
      </c>
      <c r="U15" s="45">
        <f>100</f>
        <v>100</v>
      </c>
    </row>
    <row r="16" spans="1:21" ht="75" customHeight="1" thickBot="1" x14ac:dyDescent="0.25">
      <c r="A16" s="21"/>
      <c r="B16" s="24" t="s">
        <v>55</v>
      </c>
      <c r="C16" s="88" t="s">
        <v>729</v>
      </c>
      <c r="D16" s="88"/>
      <c r="E16" s="88"/>
      <c r="F16" s="88"/>
      <c r="G16" s="88"/>
      <c r="H16" s="88"/>
      <c r="I16" s="88" t="s">
        <v>730</v>
      </c>
      <c r="J16" s="88"/>
      <c r="K16" s="88"/>
      <c r="L16" s="88" t="s">
        <v>731</v>
      </c>
      <c r="M16" s="88"/>
      <c r="N16" s="88"/>
      <c r="O16" s="88"/>
      <c r="P16" s="25" t="s">
        <v>732</v>
      </c>
      <c r="Q16" s="25" t="s">
        <v>66</v>
      </c>
      <c r="R16" s="25">
        <v>100</v>
      </c>
      <c r="S16" s="25">
        <v>100</v>
      </c>
      <c r="T16" s="25">
        <v>100</v>
      </c>
      <c r="U16" s="46">
        <f>100</f>
        <v>100</v>
      </c>
    </row>
    <row r="17" spans="2:22" ht="14.25" customHeight="1" thickTop="1" thickBot="1" x14ac:dyDescent="0.25">
      <c r="B17" s="4" t="s">
        <v>80</v>
      </c>
      <c r="C17" s="5"/>
      <c r="D17" s="5"/>
      <c r="E17" s="5"/>
      <c r="F17" s="5"/>
      <c r="G17" s="5"/>
      <c r="H17" s="6"/>
      <c r="I17" s="6"/>
      <c r="J17" s="6"/>
      <c r="K17" s="6"/>
      <c r="L17" s="6"/>
      <c r="M17" s="6"/>
      <c r="N17" s="6"/>
      <c r="O17" s="6"/>
      <c r="P17" s="6"/>
      <c r="Q17" s="6"/>
      <c r="R17" s="6"/>
      <c r="S17" s="6"/>
      <c r="T17" s="6"/>
      <c r="U17" s="7"/>
      <c r="V17" s="26"/>
    </row>
    <row r="18" spans="2:22" ht="26.25" customHeight="1" thickTop="1" x14ac:dyDescent="0.2">
      <c r="B18" s="27"/>
      <c r="C18" s="28"/>
      <c r="D18" s="28"/>
      <c r="E18" s="28"/>
      <c r="F18" s="28"/>
      <c r="G18" s="28"/>
      <c r="H18" s="29"/>
      <c r="I18" s="29"/>
      <c r="J18" s="29"/>
      <c r="K18" s="29"/>
      <c r="L18" s="29"/>
      <c r="M18" s="29"/>
      <c r="N18" s="29"/>
      <c r="O18" s="29"/>
      <c r="P18" s="29"/>
      <c r="Q18" s="29"/>
      <c r="R18" s="30"/>
      <c r="S18" s="31" t="s">
        <v>33</v>
      </c>
      <c r="T18" s="31" t="s">
        <v>81</v>
      </c>
      <c r="U18" s="18" t="s">
        <v>82</v>
      </c>
    </row>
    <row r="19" spans="2:22" ht="26.25" customHeight="1" thickBot="1" x14ac:dyDescent="0.25">
      <c r="B19" s="32"/>
      <c r="C19" s="33"/>
      <c r="D19" s="33"/>
      <c r="E19" s="33"/>
      <c r="F19" s="33"/>
      <c r="G19" s="33"/>
      <c r="H19" s="34"/>
      <c r="I19" s="34"/>
      <c r="J19" s="34"/>
      <c r="K19" s="34"/>
      <c r="L19" s="34"/>
      <c r="M19" s="34"/>
      <c r="N19" s="34"/>
      <c r="O19" s="34"/>
      <c r="P19" s="34"/>
      <c r="Q19" s="34"/>
      <c r="R19" s="34"/>
      <c r="S19" s="35" t="s">
        <v>83</v>
      </c>
      <c r="T19" s="36" t="s">
        <v>83</v>
      </c>
      <c r="U19" s="36" t="s">
        <v>84</v>
      </c>
    </row>
    <row r="20" spans="2:22" ht="13.5" customHeight="1" thickBot="1" x14ac:dyDescent="0.25">
      <c r="B20" s="92" t="s">
        <v>85</v>
      </c>
      <c r="C20" s="93"/>
      <c r="D20" s="93"/>
      <c r="E20" s="37"/>
      <c r="F20" s="37"/>
      <c r="G20" s="37"/>
      <c r="H20" s="38"/>
      <c r="I20" s="38"/>
      <c r="J20" s="38"/>
      <c r="K20" s="38"/>
      <c r="L20" s="38"/>
      <c r="M20" s="38"/>
      <c r="N20" s="38"/>
      <c r="O20" s="38"/>
      <c r="P20" s="39"/>
      <c r="Q20" s="39"/>
      <c r="R20" s="39"/>
      <c r="S20" s="48">
        <v>130</v>
      </c>
      <c r="T20" s="48">
        <v>116.81802767000001</v>
      </c>
      <c r="U20" s="49">
        <f>+IF(ISERR(T20/S20*100),"N/A",ROUND(T20/S20*100,1))</f>
        <v>89.9</v>
      </c>
    </row>
    <row r="21" spans="2:22" ht="13.5" customHeight="1" thickBot="1" x14ac:dyDescent="0.25">
      <c r="B21" s="94" t="s">
        <v>86</v>
      </c>
      <c r="C21" s="95"/>
      <c r="D21" s="95"/>
      <c r="E21" s="40"/>
      <c r="F21" s="40"/>
      <c r="G21" s="40"/>
      <c r="H21" s="41"/>
      <c r="I21" s="41"/>
      <c r="J21" s="41"/>
      <c r="K21" s="41"/>
      <c r="L21" s="41"/>
      <c r="M21" s="41"/>
      <c r="N21" s="41"/>
      <c r="O21" s="41"/>
      <c r="P21" s="42"/>
      <c r="Q21" s="42"/>
      <c r="R21" s="42"/>
      <c r="S21" s="48">
        <v>116.81868541</v>
      </c>
      <c r="T21" s="48">
        <v>116.81802767000001</v>
      </c>
      <c r="U21" s="49">
        <f>+IF(ISERR(T21/S21*100),"N/A",ROUND(T21/S21*100,1))</f>
        <v>100</v>
      </c>
    </row>
    <row r="22" spans="2:22" ht="14.85" customHeight="1" thickTop="1" thickBot="1" x14ac:dyDescent="0.25">
      <c r="B22" s="4" t="s">
        <v>87</v>
      </c>
      <c r="C22" s="5"/>
      <c r="D22" s="5"/>
      <c r="E22" s="5"/>
      <c r="F22" s="5"/>
      <c r="G22" s="5"/>
      <c r="H22" s="6"/>
      <c r="I22" s="6"/>
      <c r="J22" s="6"/>
      <c r="K22" s="6"/>
      <c r="L22" s="6"/>
      <c r="M22" s="6"/>
      <c r="N22" s="6"/>
      <c r="O22" s="6"/>
      <c r="P22" s="6"/>
      <c r="Q22" s="6"/>
      <c r="R22" s="6"/>
      <c r="S22" s="6"/>
      <c r="T22" s="6"/>
      <c r="U22" s="7"/>
    </row>
    <row r="23" spans="2:22" ht="44.25" customHeight="1" thickTop="1" x14ac:dyDescent="0.2">
      <c r="B23" s="89" t="s">
        <v>88</v>
      </c>
      <c r="C23" s="90"/>
      <c r="D23" s="90"/>
      <c r="E23" s="90"/>
      <c r="F23" s="90"/>
      <c r="G23" s="90"/>
      <c r="H23" s="90"/>
      <c r="I23" s="90"/>
      <c r="J23" s="90"/>
      <c r="K23" s="90"/>
      <c r="L23" s="90"/>
      <c r="M23" s="90"/>
      <c r="N23" s="90"/>
      <c r="O23" s="90"/>
      <c r="P23" s="90"/>
      <c r="Q23" s="90"/>
      <c r="R23" s="90"/>
      <c r="S23" s="90"/>
      <c r="T23" s="90"/>
      <c r="U23" s="91"/>
    </row>
    <row r="24" spans="2:22" ht="73.7" customHeight="1" x14ac:dyDescent="0.2">
      <c r="B24" s="96" t="s">
        <v>733</v>
      </c>
      <c r="C24" s="97"/>
      <c r="D24" s="97"/>
      <c r="E24" s="97"/>
      <c r="F24" s="97"/>
      <c r="G24" s="97"/>
      <c r="H24" s="97"/>
      <c r="I24" s="97"/>
      <c r="J24" s="97"/>
      <c r="K24" s="97"/>
      <c r="L24" s="97"/>
      <c r="M24" s="97"/>
      <c r="N24" s="97"/>
      <c r="O24" s="97"/>
      <c r="P24" s="97"/>
      <c r="Q24" s="97"/>
      <c r="R24" s="97"/>
      <c r="S24" s="97"/>
      <c r="T24" s="97"/>
      <c r="U24" s="98"/>
    </row>
    <row r="25" spans="2:22" ht="128.1" customHeight="1" x14ac:dyDescent="0.2">
      <c r="B25" s="96" t="s">
        <v>734</v>
      </c>
      <c r="C25" s="97"/>
      <c r="D25" s="97"/>
      <c r="E25" s="97"/>
      <c r="F25" s="97"/>
      <c r="G25" s="97"/>
      <c r="H25" s="97"/>
      <c r="I25" s="97"/>
      <c r="J25" s="97"/>
      <c r="K25" s="97"/>
      <c r="L25" s="97"/>
      <c r="M25" s="97"/>
      <c r="N25" s="97"/>
      <c r="O25" s="97"/>
      <c r="P25" s="97"/>
      <c r="Q25" s="97"/>
      <c r="R25" s="97"/>
      <c r="S25" s="97"/>
      <c r="T25" s="97"/>
      <c r="U25" s="98"/>
    </row>
    <row r="26" spans="2:22" ht="66.75" customHeight="1" x14ac:dyDescent="0.2">
      <c r="B26" s="96" t="s">
        <v>735</v>
      </c>
      <c r="C26" s="97"/>
      <c r="D26" s="97"/>
      <c r="E26" s="97"/>
      <c r="F26" s="97"/>
      <c r="G26" s="97"/>
      <c r="H26" s="97"/>
      <c r="I26" s="97"/>
      <c r="J26" s="97"/>
      <c r="K26" s="97"/>
      <c r="L26" s="97"/>
      <c r="M26" s="97"/>
      <c r="N26" s="97"/>
      <c r="O26" s="97"/>
      <c r="P26" s="97"/>
      <c r="Q26" s="97"/>
      <c r="R26" s="97"/>
      <c r="S26" s="97"/>
      <c r="T26" s="97"/>
      <c r="U26" s="98"/>
    </row>
    <row r="27" spans="2:22" ht="63.75" customHeight="1" x14ac:dyDescent="0.2">
      <c r="B27" s="96" t="s">
        <v>736</v>
      </c>
      <c r="C27" s="97"/>
      <c r="D27" s="97"/>
      <c r="E27" s="97"/>
      <c r="F27" s="97"/>
      <c r="G27" s="97"/>
      <c r="H27" s="97"/>
      <c r="I27" s="97"/>
      <c r="J27" s="97"/>
      <c r="K27" s="97"/>
      <c r="L27" s="97"/>
      <c r="M27" s="97"/>
      <c r="N27" s="97"/>
      <c r="O27" s="97"/>
      <c r="P27" s="97"/>
      <c r="Q27" s="97"/>
      <c r="R27" s="97"/>
      <c r="S27" s="97"/>
      <c r="T27" s="97"/>
      <c r="U27" s="98"/>
    </row>
    <row r="28" spans="2:22" ht="75.75" customHeight="1" x14ac:dyDescent="0.2">
      <c r="B28" s="96" t="s">
        <v>737</v>
      </c>
      <c r="C28" s="97"/>
      <c r="D28" s="97"/>
      <c r="E28" s="97"/>
      <c r="F28" s="97"/>
      <c r="G28" s="97"/>
      <c r="H28" s="97"/>
      <c r="I28" s="97"/>
      <c r="J28" s="97"/>
      <c r="K28" s="97"/>
      <c r="L28" s="97"/>
      <c r="M28" s="97"/>
      <c r="N28" s="97"/>
      <c r="O28" s="97"/>
      <c r="P28" s="97"/>
      <c r="Q28" s="97"/>
      <c r="R28" s="97"/>
      <c r="S28" s="97"/>
      <c r="T28" s="97"/>
      <c r="U28" s="98"/>
    </row>
    <row r="29" spans="2:22" ht="52.5" customHeight="1" thickBot="1" x14ac:dyDescent="0.25">
      <c r="B29" s="99" t="s">
        <v>738</v>
      </c>
      <c r="C29" s="100"/>
      <c r="D29" s="100"/>
      <c r="E29" s="100"/>
      <c r="F29" s="100"/>
      <c r="G29" s="100"/>
      <c r="H29" s="100"/>
      <c r="I29" s="100"/>
      <c r="J29" s="100"/>
      <c r="K29" s="100"/>
      <c r="L29" s="100"/>
      <c r="M29" s="100"/>
      <c r="N29" s="100"/>
      <c r="O29" s="100"/>
      <c r="P29" s="100"/>
      <c r="Q29" s="100"/>
      <c r="R29" s="100"/>
      <c r="S29" s="100"/>
      <c r="T29" s="100"/>
      <c r="U29" s="101"/>
    </row>
  </sheetData>
  <mergeCells count="48">
    <mergeCell ref="B29:U29"/>
    <mergeCell ref="C16:H16"/>
    <mergeCell ref="I16:K16"/>
    <mergeCell ref="L16:O16"/>
    <mergeCell ref="B20:D20"/>
    <mergeCell ref="B21:D21"/>
    <mergeCell ref="B23:U23"/>
    <mergeCell ref="B24:U24"/>
    <mergeCell ref="B25:U25"/>
    <mergeCell ref="B26:U26"/>
    <mergeCell ref="B27:U27"/>
    <mergeCell ref="B28:U28"/>
    <mergeCell ref="C14:H14"/>
    <mergeCell ref="I14:K14"/>
    <mergeCell ref="L14:O14"/>
    <mergeCell ref="C15:H15"/>
    <mergeCell ref="I15:K15"/>
    <mergeCell ref="L15:O15"/>
    <mergeCell ref="C12:H12"/>
    <mergeCell ref="I12:K12"/>
    <mergeCell ref="L12:O12"/>
    <mergeCell ref="C13:H13"/>
    <mergeCell ref="I13:K13"/>
    <mergeCell ref="L13:O13"/>
    <mergeCell ref="C11:H11"/>
    <mergeCell ref="I11:K11"/>
    <mergeCell ref="L11:O11"/>
    <mergeCell ref="C6:G6"/>
    <mergeCell ref="K6:M6"/>
    <mergeCell ref="P6:Q6"/>
    <mergeCell ref="T6:U6"/>
    <mergeCell ref="B8:B10"/>
    <mergeCell ref="C8:H10"/>
    <mergeCell ref="I8:S8"/>
    <mergeCell ref="T8:U8"/>
    <mergeCell ref="I9:K10"/>
    <mergeCell ref="L9:O10"/>
    <mergeCell ref="P9:P10"/>
    <mergeCell ref="Q9:Q10"/>
    <mergeCell ref="R9:S9"/>
    <mergeCell ref="T9:T10"/>
    <mergeCell ref="U9:U10"/>
    <mergeCell ref="B5:U5"/>
    <mergeCell ref="B1:L1"/>
    <mergeCell ref="D4:H4"/>
    <mergeCell ref="L4:O4"/>
    <mergeCell ref="Q4:R4"/>
    <mergeCell ref="T4:U4"/>
  </mergeCells>
  <printOptions horizontalCentered="1"/>
  <pageMargins left="0.78740157480314965" right="0.78740157480314965" top="0.98425196850393704" bottom="0.98425196850393704" header="0" footer="0.39370078740157483"/>
  <pageSetup scale="60" fitToHeight="10" orientation="landscape" r:id="rId1"/>
  <headerFooter>
    <oddFooter>&amp;R&amp;P de &amp;N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33"/>
  <sheetViews>
    <sheetView view="pageBreakPreview" topLeftCell="B7" zoomScale="80" zoomScaleNormal="80" zoomScaleSheetLayoutView="80" workbookViewId="0">
      <selection activeCell="R11" sqref="R11:U11"/>
    </sheetView>
  </sheetViews>
  <sheetFormatPr baseColWidth="10" defaultColWidth="10" defaultRowHeight="12.75" x14ac:dyDescent="0.2"/>
  <cols>
    <col min="1" max="1" width="3.5" style="1" customWidth="1"/>
    <col min="2" max="2" width="14.7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9.625" style="1" customWidth="1"/>
    <col min="19" max="19" width="13" style="1" customWidth="1"/>
    <col min="20" max="20" width="10.75" style="1" customWidth="1"/>
    <col min="21" max="21" width="11.37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50" t="s">
        <v>0</v>
      </c>
      <c r="C1" s="50"/>
      <c r="D1" s="50"/>
      <c r="E1" s="50"/>
      <c r="F1" s="50"/>
      <c r="G1" s="50"/>
      <c r="H1" s="50"/>
      <c r="I1" s="50"/>
      <c r="J1" s="50"/>
      <c r="K1" s="50"/>
      <c r="L1" s="50"/>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51.75" customHeight="1" thickTop="1" x14ac:dyDescent="0.2">
      <c r="B4" s="8" t="s">
        <v>6</v>
      </c>
      <c r="C4" s="9" t="s">
        <v>739</v>
      </c>
      <c r="D4" s="57" t="s">
        <v>740</v>
      </c>
      <c r="E4" s="57"/>
      <c r="F4" s="57"/>
      <c r="G4" s="57"/>
      <c r="H4" s="57"/>
      <c r="I4" s="10"/>
      <c r="J4" s="11" t="s">
        <v>9</v>
      </c>
      <c r="K4" s="12" t="s">
        <v>10</v>
      </c>
      <c r="L4" s="58" t="s">
        <v>11</v>
      </c>
      <c r="M4" s="58"/>
      <c r="N4" s="58"/>
      <c r="O4" s="58"/>
      <c r="P4" s="11" t="s">
        <v>12</v>
      </c>
      <c r="Q4" s="58" t="s">
        <v>707</v>
      </c>
      <c r="R4" s="58"/>
      <c r="S4" s="11" t="s">
        <v>14</v>
      </c>
      <c r="T4" s="58"/>
      <c r="U4" s="59"/>
    </row>
    <row r="5" spans="1:21" ht="15.75" customHeight="1" x14ac:dyDescent="0.2">
      <c r="B5" s="54" t="s">
        <v>15</v>
      </c>
      <c r="C5" s="55"/>
      <c r="D5" s="55"/>
      <c r="E5" s="55"/>
      <c r="F5" s="55"/>
      <c r="G5" s="55"/>
      <c r="H5" s="55"/>
      <c r="I5" s="55"/>
      <c r="J5" s="55"/>
      <c r="K5" s="55"/>
      <c r="L5" s="55"/>
      <c r="M5" s="55"/>
      <c r="N5" s="55"/>
      <c r="O5" s="55"/>
      <c r="P5" s="55"/>
      <c r="Q5" s="55"/>
      <c r="R5" s="55"/>
      <c r="S5" s="55"/>
      <c r="T5" s="55"/>
      <c r="U5" s="56"/>
    </row>
    <row r="6" spans="1:21" ht="37.5" customHeight="1" thickBot="1" x14ac:dyDescent="0.25">
      <c r="B6" s="13" t="s">
        <v>16</v>
      </c>
      <c r="C6" s="60" t="s">
        <v>17</v>
      </c>
      <c r="D6" s="60"/>
      <c r="E6" s="60"/>
      <c r="F6" s="60"/>
      <c r="G6" s="60"/>
      <c r="H6" s="14"/>
      <c r="I6" s="14"/>
      <c r="J6" s="14" t="s">
        <v>18</v>
      </c>
      <c r="K6" s="60" t="s">
        <v>19</v>
      </c>
      <c r="L6" s="60"/>
      <c r="M6" s="60"/>
      <c r="N6" s="15"/>
      <c r="O6" s="16" t="s">
        <v>20</v>
      </c>
      <c r="P6" s="60" t="s">
        <v>324</v>
      </c>
      <c r="Q6" s="60"/>
      <c r="R6" s="17"/>
      <c r="S6" s="16" t="s">
        <v>22</v>
      </c>
      <c r="T6" s="60" t="s">
        <v>325</v>
      </c>
      <c r="U6" s="61"/>
    </row>
    <row r="7" spans="1:21" ht="14.25" customHeight="1" thickTop="1" thickBot="1" x14ac:dyDescent="0.25">
      <c r="B7" s="4" t="s">
        <v>24</v>
      </c>
      <c r="C7" s="5"/>
      <c r="D7" s="5"/>
      <c r="E7" s="5"/>
      <c r="F7" s="5"/>
      <c r="G7" s="5"/>
      <c r="H7" s="6"/>
      <c r="I7" s="6"/>
      <c r="J7" s="6"/>
      <c r="K7" s="6"/>
      <c r="L7" s="6"/>
      <c r="M7" s="6"/>
      <c r="N7" s="6"/>
      <c r="O7" s="6"/>
      <c r="P7" s="6"/>
      <c r="Q7" s="6"/>
      <c r="R7" s="6"/>
      <c r="S7" s="6"/>
      <c r="T7" s="6"/>
      <c r="U7" s="7"/>
    </row>
    <row r="8" spans="1:21" ht="16.5" customHeight="1" thickTop="1" x14ac:dyDescent="0.2">
      <c r="B8" s="62" t="s">
        <v>25</v>
      </c>
      <c r="C8" s="65" t="s">
        <v>26</v>
      </c>
      <c r="D8" s="66"/>
      <c r="E8" s="66"/>
      <c r="F8" s="66"/>
      <c r="G8" s="66"/>
      <c r="H8" s="67"/>
      <c r="I8" s="74" t="s">
        <v>27</v>
      </c>
      <c r="J8" s="75"/>
      <c r="K8" s="75"/>
      <c r="L8" s="75"/>
      <c r="M8" s="75"/>
      <c r="N8" s="75"/>
      <c r="O8" s="75"/>
      <c r="P8" s="75"/>
      <c r="Q8" s="75"/>
      <c r="R8" s="75"/>
      <c r="S8" s="76"/>
      <c r="T8" s="77" t="s">
        <v>28</v>
      </c>
      <c r="U8" s="78"/>
    </row>
    <row r="9" spans="1:21" ht="19.5" customHeight="1" x14ac:dyDescent="0.2">
      <c r="B9" s="63"/>
      <c r="C9" s="68"/>
      <c r="D9" s="69"/>
      <c r="E9" s="69"/>
      <c r="F9" s="69"/>
      <c r="G9" s="69"/>
      <c r="H9" s="70"/>
      <c r="I9" s="79" t="s">
        <v>29</v>
      </c>
      <c r="J9" s="80"/>
      <c r="K9" s="80"/>
      <c r="L9" s="80" t="s">
        <v>30</v>
      </c>
      <c r="M9" s="80"/>
      <c r="N9" s="80"/>
      <c r="O9" s="80"/>
      <c r="P9" s="80" t="s">
        <v>31</v>
      </c>
      <c r="Q9" s="80" t="s">
        <v>32</v>
      </c>
      <c r="R9" s="83" t="s">
        <v>33</v>
      </c>
      <c r="S9" s="84"/>
      <c r="T9" s="80" t="s">
        <v>34</v>
      </c>
      <c r="U9" s="85" t="s">
        <v>35</v>
      </c>
    </row>
    <row r="10" spans="1:21" ht="26.25" customHeight="1" thickBot="1" x14ac:dyDescent="0.25">
      <c r="B10" s="64"/>
      <c r="C10" s="71"/>
      <c r="D10" s="72"/>
      <c r="E10" s="72"/>
      <c r="F10" s="72"/>
      <c r="G10" s="72"/>
      <c r="H10" s="73"/>
      <c r="I10" s="81"/>
      <c r="J10" s="82"/>
      <c r="K10" s="82"/>
      <c r="L10" s="82"/>
      <c r="M10" s="82"/>
      <c r="N10" s="82"/>
      <c r="O10" s="82"/>
      <c r="P10" s="82"/>
      <c r="Q10" s="82"/>
      <c r="R10" s="19" t="s">
        <v>36</v>
      </c>
      <c r="S10" s="20" t="s">
        <v>37</v>
      </c>
      <c r="T10" s="82"/>
      <c r="U10" s="86"/>
    </row>
    <row r="11" spans="1:21" ht="90.75" customHeight="1" thickTop="1" thickBot="1" x14ac:dyDescent="0.25">
      <c r="A11" s="21"/>
      <c r="B11" s="22" t="s">
        <v>38</v>
      </c>
      <c r="C11" s="87" t="s">
        <v>741</v>
      </c>
      <c r="D11" s="87"/>
      <c r="E11" s="87"/>
      <c r="F11" s="87"/>
      <c r="G11" s="87"/>
      <c r="H11" s="87"/>
      <c r="I11" s="87" t="s">
        <v>742</v>
      </c>
      <c r="J11" s="87"/>
      <c r="K11" s="87"/>
      <c r="L11" s="87" t="s">
        <v>743</v>
      </c>
      <c r="M11" s="87"/>
      <c r="N11" s="87"/>
      <c r="O11" s="87"/>
      <c r="P11" s="23" t="s">
        <v>744</v>
      </c>
      <c r="Q11" s="23" t="s">
        <v>43</v>
      </c>
      <c r="R11" s="23">
        <v>43</v>
      </c>
      <c r="S11" s="23">
        <v>43</v>
      </c>
      <c r="T11" s="23">
        <v>30.16</v>
      </c>
      <c r="U11" s="45">
        <f>70.14</f>
        <v>70.14</v>
      </c>
    </row>
    <row r="12" spans="1:21" ht="75" customHeight="1" thickTop="1" thickBot="1" x14ac:dyDescent="0.25">
      <c r="A12" s="21"/>
      <c r="B12" s="22" t="s">
        <v>44</v>
      </c>
      <c r="C12" s="87" t="s">
        <v>745</v>
      </c>
      <c r="D12" s="87"/>
      <c r="E12" s="87"/>
      <c r="F12" s="87"/>
      <c r="G12" s="87"/>
      <c r="H12" s="87"/>
      <c r="I12" s="87" t="s">
        <v>746</v>
      </c>
      <c r="J12" s="87"/>
      <c r="K12" s="87"/>
      <c r="L12" s="87" t="s">
        <v>747</v>
      </c>
      <c r="M12" s="87"/>
      <c r="N12" s="87"/>
      <c r="O12" s="87"/>
      <c r="P12" s="23" t="s">
        <v>748</v>
      </c>
      <c r="Q12" s="23" t="s">
        <v>43</v>
      </c>
      <c r="R12" s="23">
        <v>88</v>
      </c>
      <c r="S12" s="23">
        <v>88</v>
      </c>
      <c r="T12" s="23">
        <v>78.69</v>
      </c>
      <c r="U12" s="45">
        <v>102.9</v>
      </c>
    </row>
    <row r="13" spans="1:21" ht="75" customHeight="1" thickTop="1" thickBot="1" x14ac:dyDescent="0.25">
      <c r="A13" s="21"/>
      <c r="B13" s="22" t="s">
        <v>50</v>
      </c>
      <c r="C13" s="103" t="s">
        <v>749</v>
      </c>
      <c r="D13" s="87"/>
      <c r="E13" s="87"/>
      <c r="F13" s="87"/>
      <c r="G13" s="87"/>
      <c r="H13" s="87"/>
      <c r="I13" s="87" t="s">
        <v>750</v>
      </c>
      <c r="J13" s="87"/>
      <c r="K13" s="87"/>
      <c r="L13" s="87" t="s">
        <v>751</v>
      </c>
      <c r="M13" s="87"/>
      <c r="N13" s="87"/>
      <c r="O13" s="87"/>
      <c r="P13" s="23" t="s">
        <v>752</v>
      </c>
      <c r="Q13" s="23" t="s">
        <v>60</v>
      </c>
      <c r="R13" s="23">
        <v>85</v>
      </c>
      <c r="S13" s="23">
        <v>90</v>
      </c>
      <c r="T13" s="23">
        <v>157.16999999999999</v>
      </c>
      <c r="U13" s="45">
        <f>174.63</f>
        <v>174.63</v>
      </c>
    </row>
    <row r="14" spans="1:21" ht="75" customHeight="1" thickTop="1" x14ac:dyDescent="0.2">
      <c r="A14" s="21"/>
      <c r="B14" s="22" t="s">
        <v>61</v>
      </c>
      <c r="C14" s="87" t="s">
        <v>753</v>
      </c>
      <c r="D14" s="87"/>
      <c r="E14" s="87"/>
      <c r="F14" s="87"/>
      <c r="G14" s="87"/>
      <c r="H14" s="87"/>
      <c r="I14" s="87" t="s">
        <v>754</v>
      </c>
      <c r="J14" s="87"/>
      <c r="K14" s="87"/>
      <c r="L14" s="87" t="s">
        <v>755</v>
      </c>
      <c r="M14" s="87"/>
      <c r="N14" s="87"/>
      <c r="O14" s="87"/>
      <c r="P14" s="23" t="s">
        <v>756</v>
      </c>
      <c r="Q14" s="23" t="s">
        <v>757</v>
      </c>
      <c r="R14" s="23">
        <v>74</v>
      </c>
      <c r="S14" s="23">
        <v>74</v>
      </c>
      <c r="T14" s="23">
        <v>73.209999999999994</v>
      </c>
      <c r="U14" s="45">
        <f>98.93</f>
        <v>98.93</v>
      </c>
    </row>
    <row r="15" spans="1:21" ht="90.75" customHeight="1" x14ac:dyDescent="0.2">
      <c r="A15" s="21"/>
      <c r="B15" s="24" t="s">
        <v>55</v>
      </c>
      <c r="C15" s="88" t="s">
        <v>758</v>
      </c>
      <c r="D15" s="88"/>
      <c r="E15" s="88"/>
      <c r="F15" s="88"/>
      <c r="G15" s="88"/>
      <c r="H15" s="88"/>
      <c r="I15" s="88" t="s">
        <v>759</v>
      </c>
      <c r="J15" s="88"/>
      <c r="K15" s="88"/>
      <c r="L15" s="88" t="s">
        <v>760</v>
      </c>
      <c r="M15" s="88"/>
      <c r="N15" s="88"/>
      <c r="O15" s="88"/>
      <c r="P15" s="25" t="s">
        <v>761</v>
      </c>
      <c r="Q15" s="25" t="s">
        <v>762</v>
      </c>
      <c r="R15" s="25">
        <v>58</v>
      </c>
      <c r="S15" s="25">
        <v>58</v>
      </c>
      <c r="T15" s="25">
        <v>85.3</v>
      </c>
      <c r="U15" s="46">
        <f>147.06</f>
        <v>147.06</v>
      </c>
    </row>
    <row r="16" spans="1:21" ht="86.25" customHeight="1" x14ac:dyDescent="0.2">
      <c r="A16" s="21"/>
      <c r="B16" s="24" t="s">
        <v>55</v>
      </c>
      <c r="C16" s="88" t="s">
        <v>763</v>
      </c>
      <c r="D16" s="88"/>
      <c r="E16" s="88"/>
      <c r="F16" s="88"/>
      <c r="G16" s="88"/>
      <c r="H16" s="88"/>
      <c r="I16" s="88" t="s">
        <v>764</v>
      </c>
      <c r="J16" s="88"/>
      <c r="K16" s="88"/>
      <c r="L16" s="88" t="s">
        <v>765</v>
      </c>
      <c r="M16" s="88"/>
      <c r="N16" s="88"/>
      <c r="O16" s="88"/>
      <c r="P16" s="25" t="s">
        <v>756</v>
      </c>
      <c r="Q16" s="25" t="s">
        <v>762</v>
      </c>
      <c r="R16" s="25">
        <v>25</v>
      </c>
      <c r="S16" s="25">
        <v>25</v>
      </c>
      <c r="T16" s="25">
        <v>45.64</v>
      </c>
      <c r="U16" s="46">
        <f>182.56</f>
        <v>182.56</v>
      </c>
    </row>
    <row r="17" spans="1:22" ht="75" customHeight="1" x14ac:dyDescent="0.2">
      <c r="A17" s="21"/>
      <c r="B17" s="24" t="s">
        <v>55</v>
      </c>
      <c r="C17" s="88" t="s">
        <v>766</v>
      </c>
      <c r="D17" s="88"/>
      <c r="E17" s="88"/>
      <c r="F17" s="88"/>
      <c r="G17" s="88"/>
      <c r="H17" s="88"/>
      <c r="I17" s="88" t="s">
        <v>767</v>
      </c>
      <c r="J17" s="88"/>
      <c r="K17" s="88"/>
      <c r="L17" s="88" t="s">
        <v>768</v>
      </c>
      <c r="M17" s="88"/>
      <c r="N17" s="88"/>
      <c r="O17" s="88"/>
      <c r="P17" s="25" t="s">
        <v>769</v>
      </c>
      <c r="Q17" s="25" t="s">
        <v>66</v>
      </c>
      <c r="R17" s="25">
        <v>95.03</v>
      </c>
      <c r="S17" s="25">
        <v>95.03</v>
      </c>
      <c r="T17" s="25">
        <v>102.56</v>
      </c>
      <c r="U17" s="46">
        <f>107.92</f>
        <v>107.92</v>
      </c>
    </row>
    <row r="18" spans="1:22" ht="84.75" customHeight="1" thickBot="1" x14ac:dyDescent="0.25">
      <c r="A18" s="21"/>
      <c r="B18" s="24" t="s">
        <v>55</v>
      </c>
      <c r="C18" s="88" t="s">
        <v>770</v>
      </c>
      <c r="D18" s="88"/>
      <c r="E18" s="88"/>
      <c r="F18" s="88"/>
      <c r="G18" s="88"/>
      <c r="H18" s="88"/>
      <c r="I18" s="88" t="s">
        <v>771</v>
      </c>
      <c r="J18" s="88"/>
      <c r="K18" s="88"/>
      <c r="L18" s="88" t="s">
        <v>772</v>
      </c>
      <c r="M18" s="88"/>
      <c r="N18" s="88"/>
      <c r="O18" s="88"/>
      <c r="P18" s="25" t="s">
        <v>773</v>
      </c>
      <c r="Q18" s="25" t="s">
        <v>762</v>
      </c>
      <c r="R18" s="25">
        <v>15</v>
      </c>
      <c r="S18" s="25">
        <v>15</v>
      </c>
      <c r="T18" s="25">
        <v>37.11</v>
      </c>
      <c r="U18" s="46">
        <f>247.4</f>
        <v>247.4</v>
      </c>
    </row>
    <row r="19" spans="1:22" ht="14.25" customHeight="1" thickTop="1" thickBot="1" x14ac:dyDescent="0.25">
      <c r="B19" s="4" t="s">
        <v>80</v>
      </c>
      <c r="C19" s="5"/>
      <c r="D19" s="5"/>
      <c r="E19" s="5"/>
      <c r="F19" s="5"/>
      <c r="G19" s="5"/>
      <c r="H19" s="6"/>
      <c r="I19" s="6"/>
      <c r="J19" s="6"/>
      <c r="K19" s="6"/>
      <c r="L19" s="6"/>
      <c r="M19" s="6"/>
      <c r="N19" s="6"/>
      <c r="O19" s="6"/>
      <c r="P19" s="6"/>
      <c r="Q19" s="6"/>
      <c r="R19" s="6"/>
      <c r="S19" s="6"/>
      <c r="T19" s="6"/>
      <c r="U19" s="7"/>
      <c r="V19" s="26"/>
    </row>
    <row r="20" spans="1:22" ht="26.25" customHeight="1" thickTop="1" x14ac:dyDescent="0.2">
      <c r="B20" s="27"/>
      <c r="C20" s="28"/>
      <c r="D20" s="28"/>
      <c r="E20" s="28"/>
      <c r="F20" s="28"/>
      <c r="G20" s="28"/>
      <c r="H20" s="29"/>
      <c r="I20" s="29"/>
      <c r="J20" s="29"/>
      <c r="K20" s="29"/>
      <c r="L20" s="29"/>
      <c r="M20" s="29"/>
      <c r="N20" s="29"/>
      <c r="O20" s="29"/>
      <c r="P20" s="29"/>
      <c r="Q20" s="29"/>
      <c r="R20" s="30"/>
      <c r="S20" s="31" t="s">
        <v>33</v>
      </c>
      <c r="T20" s="31" t="s">
        <v>81</v>
      </c>
      <c r="U20" s="18" t="s">
        <v>82</v>
      </c>
    </row>
    <row r="21" spans="1:22" ht="26.25" customHeight="1" thickBot="1" x14ac:dyDescent="0.25">
      <c r="B21" s="32"/>
      <c r="C21" s="33"/>
      <c r="D21" s="33"/>
      <c r="E21" s="33"/>
      <c r="F21" s="33"/>
      <c r="G21" s="33"/>
      <c r="H21" s="34"/>
      <c r="I21" s="34"/>
      <c r="J21" s="34"/>
      <c r="K21" s="34"/>
      <c r="L21" s="34"/>
      <c r="M21" s="34"/>
      <c r="N21" s="34"/>
      <c r="O21" s="34"/>
      <c r="P21" s="34"/>
      <c r="Q21" s="34"/>
      <c r="R21" s="34"/>
      <c r="S21" s="35" t="s">
        <v>83</v>
      </c>
      <c r="T21" s="36" t="s">
        <v>83</v>
      </c>
      <c r="U21" s="36" t="s">
        <v>84</v>
      </c>
    </row>
    <row r="22" spans="1:22" ht="13.5" customHeight="1" thickBot="1" x14ac:dyDescent="0.25">
      <c r="B22" s="92" t="s">
        <v>85</v>
      </c>
      <c r="C22" s="93"/>
      <c r="D22" s="93"/>
      <c r="E22" s="37"/>
      <c r="F22" s="37"/>
      <c r="G22" s="37"/>
      <c r="H22" s="38"/>
      <c r="I22" s="38"/>
      <c r="J22" s="38"/>
      <c r="K22" s="38"/>
      <c r="L22" s="38"/>
      <c r="M22" s="38"/>
      <c r="N22" s="38"/>
      <c r="O22" s="38"/>
      <c r="P22" s="39"/>
      <c r="Q22" s="39"/>
      <c r="R22" s="39"/>
      <c r="S22" s="48">
        <v>111.762608</v>
      </c>
      <c r="T22" s="48">
        <v>106.65726112</v>
      </c>
      <c r="U22" s="49">
        <f>+IF(ISERR(T22/S22*100),"N/A",ROUND(T22/S22*100,1))</f>
        <v>95.4</v>
      </c>
    </row>
    <row r="23" spans="1:22" ht="13.5" customHeight="1" thickBot="1" x14ac:dyDescent="0.25">
      <c r="B23" s="94" t="s">
        <v>86</v>
      </c>
      <c r="C23" s="95"/>
      <c r="D23" s="95"/>
      <c r="E23" s="40"/>
      <c r="F23" s="40"/>
      <c r="G23" s="40"/>
      <c r="H23" s="41"/>
      <c r="I23" s="41"/>
      <c r="J23" s="41"/>
      <c r="K23" s="41"/>
      <c r="L23" s="41"/>
      <c r="M23" s="41"/>
      <c r="N23" s="41"/>
      <c r="O23" s="41"/>
      <c r="P23" s="42"/>
      <c r="Q23" s="42"/>
      <c r="R23" s="42"/>
      <c r="S23" s="48">
        <v>106.65840960000003</v>
      </c>
      <c r="T23" s="48">
        <v>106.65726112</v>
      </c>
      <c r="U23" s="49">
        <f>+IF(ISERR(T23/S23*100),"N/A",ROUND(T23/S23*100,1))</f>
        <v>100</v>
      </c>
    </row>
    <row r="24" spans="1:22" ht="14.85" customHeight="1" thickTop="1" thickBot="1" x14ac:dyDescent="0.25">
      <c r="B24" s="4" t="s">
        <v>87</v>
      </c>
      <c r="C24" s="5"/>
      <c r="D24" s="5"/>
      <c r="E24" s="5"/>
      <c r="F24" s="5"/>
      <c r="G24" s="5"/>
      <c r="H24" s="6"/>
      <c r="I24" s="6"/>
      <c r="J24" s="6"/>
      <c r="K24" s="6"/>
      <c r="L24" s="6"/>
      <c r="M24" s="6"/>
      <c r="N24" s="6"/>
      <c r="O24" s="6"/>
      <c r="P24" s="6"/>
      <c r="Q24" s="6"/>
      <c r="R24" s="6"/>
      <c r="S24" s="6"/>
      <c r="T24" s="6"/>
      <c r="U24" s="7"/>
    </row>
    <row r="25" spans="1:22" ht="44.25" customHeight="1" thickTop="1" x14ac:dyDescent="0.2">
      <c r="B25" s="89" t="s">
        <v>88</v>
      </c>
      <c r="C25" s="90"/>
      <c r="D25" s="90"/>
      <c r="E25" s="90"/>
      <c r="F25" s="90"/>
      <c r="G25" s="90"/>
      <c r="H25" s="90"/>
      <c r="I25" s="90"/>
      <c r="J25" s="90"/>
      <c r="K25" s="90"/>
      <c r="L25" s="90"/>
      <c r="M25" s="90"/>
      <c r="N25" s="90"/>
      <c r="O25" s="90"/>
      <c r="P25" s="90"/>
      <c r="Q25" s="90"/>
      <c r="R25" s="90"/>
      <c r="S25" s="90"/>
      <c r="T25" s="90"/>
      <c r="U25" s="91"/>
    </row>
    <row r="26" spans="1:22" ht="185.25" customHeight="1" x14ac:dyDescent="0.2">
      <c r="B26" s="96" t="s">
        <v>774</v>
      </c>
      <c r="C26" s="97"/>
      <c r="D26" s="97"/>
      <c r="E26" s="97"/>
      <c r="F26" s="97"/>
      <c r="G26" s="97"/>
      <c r="H26" s="97"/>
      <c r="I26" s="97"/>
      <c r="J26" s="97"/>
      <c r="K26" s="97"/>
      <c r="L26" s="97"/>
      <c r="M26" s="97"/>
      <c r="N26" s="97"/>
      <c r="O26" s="97"/>
      <c r="P26" s="97"/>
      <c r="Q26" s="97"/>
      <c r="R26" s="97"/>
      <c r="S26" s="97"/>
      <c r="T26" s="97"/>
      <c r="U26" s="98"/>
    </row>
    <row r="27" spans="1:22" ht="110.25" customHeight="1" x14ac:dyDescent="0.2">
      <c r="B27" s="96" t="s">
        <v>775</v>
      </c>
      <c r="C27" s="97"/>
      <c r="D27" s="97"/>
      <c r="E27" s="97"/>
      <c r="F27" s="97"/>
      <c r="G27" s="97"/>
      <c r="H27" s="97"/>
      <c r="I27" s="97"/>
      <c r="J27" s="97"/>
      <c r="K27" s="97"/>
      <c r="L27" s="97"/>
      <c r="M27" s="97"/>
      <c r="N27" s="97"/>
      <c r="O27" s="97"/>
      <c r="P27" s="97"/>
      <c r="Q27" s="97"/>
      <c r="R27" s="97"/>
      <c r="S27" s="97"/>
      <c r="T27" s="97"/>
      <c r="U27" s="98"/>
    </row>
    <row r="28" spans="1:22" ht="106.35" customHeight="1" x14ac:dyDescent="0.2">
      <c r="B28" s="96" t="s">
        <v>776</v>
      </c>
      <c r="C28" s="97"/>
      <c r="D28" s="97"/>
      <c r="E28" s="97"/>
      <c r="F28" s="97"/>
      <c r="G28" s="97"/>
      <c r="H28" s="97"/>
      <c r="I28" s="97"/>
      <c r="J28" s="97"/>
      <c r="K28" s="97"/>
      <c r="L28" s="97"/>
      <c r="M28" s="97"/>
      <c r="N28" s="97"/>
      <c r="O28" s="97"/>
      <c r="P28" s="97"/>
      <c r="Q28" s="97"/>
      <c r="R28" s="97"/>
      <c r="S28" s="97"/>
      <c r="T28" s="97"/>
      <c r="U28" s="98"/>
    </row>
    <row r="29" spans="1:22" ht="110.45" customHeight="1" x14ac:dyDescent="0.2">
      <c r="B29" s="96" t="s">
        <v>777</v>
      </c>
      <c r="C29" s="97"/>
      <c r="D29" s="97"/>
      <c r="E29" s="97"/>
      <c r="F29" s="97"/>
      <c r="G29" s="97"/>
      <c r="H29" s="97"/>
      <c r="I29" s="97"/>
      <c r="J29" s="97"/>
      <c r="K29" s="97"/>
      <c r="L29" s="97"/>
      <c r="M29" s="97"/>
      <c r="N29" s="97"/>
      <c r="O29" s="97"/>
      <c r="P29" s="97"/>
      <c r="Q29" s="97"/>
      <c r="R29" s="97"/>
      <c r="S29" s="97"/>
      <c r="T29" s="97"/>
      <c r="U29" s="98"/>
    </row>
    <row r="30" spans="1:22" ht="85.7" customHeight="1" x14ac:dyDescent="0.2">
      <c r="B30" s="96" t="s">
        <v>778</v>
      </c>
      <c r="C30" s="97"/>
      <c r="D30" s="97"/>
      <c r="E30" s="97"/>
      <c r="F30" s="97"/>
      <c r="G30" s="97"/>
      <c r="H30" s="97"/>
      <c r="I30" s="97"/>
      <c r="J30" s="97"/>
      <c r="K30" s="97"/>
      <c r="L30" s="97"/>
      <c r="M30" s="97"/>
      <c r="N30" s="97"/>
      <c r="O30" s="97"/>
      <c r="P30" s="97"/>
      <c r="Q30" s="97"/>
      <c r="R30" s="97"/>
      <c r="S30" s="97"/>
      <c r="T30" s="97"/>
      <c r="U30" s="98"/>
    </row>
    <row r="31" spans="1:22" ht="131.44999999999999" customHeight="1" x14ac:dyDescent="0.2">
      <c r="B31" s="96" t="s">
        <v>779</v>
      </c>
      <c r="C31" s="97"/>
      <c r="D31" s="97"/>
      <c r="E31" s="97"/>
      <c r="F31" s="97"/>
      <c r="G31" s="97"/>
      <c r="H31" s="97"/>
      <c r="I31" s="97"/>
      <c r="J31" s="97"/>
      <c r="K31" s="97"/>
      <c r="L31" s="97"/>
      <c r="M31" s="97"/>
      <c r="N31" s="97"/>
      <c r="O31" s="97"/>
      <c r="P31" s="97"/>
      <c r="Q31" s="97"/>
      <c r="R31" s="97"/>
      <c r="S31" s="97"/>
      <c r="T31" s="97"/>
      <c r="U31" s="98"/>
    </row>
    <row r="32" spans="1:22" ht="111.95" customHeight="1" x14ac:dyDescent="0.2">
      <c r="B32" s="96" t="s">
        <v>780</v>
      </c>
      <c r="C32" s="97"/>
      <c r="D32" s="97"/>
      <c r="E32" s="97"/>
      <c r="F32" s="97"/>
      <c r="G32" s="97"/>
      <c r="H32" s="97"/>
      <c r="I32" s="97"/>
      <c r="J32" s="97"/>
      <c r="K32" s="97"/>
      <c r="L32" s="97"/>
      <c r="M32" s="97"/>
      <c r="N32" s="97"/>
      <c r="O32" s="97"/>
      <c r="P32" s="97"/>
      <c r="Q32" s="97"/>
      <c r="R32" s="97"/>
      <c r="S32" s="97"/>
      <c r="T32" s="97"/>
      <c r="U32" s="98"/>
    </row>
    <row r="33" spans="2:21" ht="105.95" customHeight="1" thickBot="1" x14ac:dyDescent="0.25">
      <c r="B33" s="99" t="s">
        <v>781</v>
      </c>
      <c r="C33" s="100"/>
      <c r="D33" s="100"/>
      <c r="E33" s="100"/>
      <c r="F33" s="100"/>
      <c r="G33" s="100"/>
      <c r="H33" s="100"/>
      <c r="I33" s="100"/>
      <c r="J33" s="100"/>
      <c r="K33" s="100"/>
      <c r="L33" s="100"/>
      <c r="M33" s="100"/>
      <c r="N33" s="100"/>
      <c r="O33" s="100"/>
      <c r="P33" s="100"/>
      <c r="Q33" s="100"/>
      <c r="R33" s="100"/>
      <c r="S33" s="100"/>
      <c r="T33" s="100"/>
      <c r="U33" s="101"/>
    </row>
  </sheetData>
  <mergeCells count="56">
    <mergeCell ref="B32:U32"/>
    <mergeCell ref="B33:U33"/>
    <mergeCell ref="B26:U26"/>
    <mergeCell ref="B27:U27"/>
    <mergeCell ref="B28:U28"/>
    <mergeCell ref="B29:U29"/>
    <mergeCell ref="B30:U30"/>
    <mergeCell ref="B31:U31"/>
    <mergeCell ref="B25:U25"/>
    <mergeCell ref="C16:H16"/>
    <mergeCell ref="I16:K16"/>
    <mergeCell ref="L16:O16"/>
    <mergeCell ref="C17:H17"/>
    <mergeCell ref="I17:K17"/>
    <mergeCell ref="L17:O17"/>
    <mergeCell ref="C18:H18"/>
    <mergeCell ref="I18:K18"/>
    <mergeCell ref="L18:O18"/>
    <mergeCell ref="B22:D22"/>
    <mergeCell ref="B23:D23"/>
    <mergeCell ref="C14:H14"/>
    <mergeCell ref="I14:K14"/>
    <mergeCell ref="L14:O14"/>
    <mergeCell ref="C15:H15"/>
    <mergeCell ref="I15:K15"/>
    <mergeCell ref="L15:O15"/>
    <mergeCell ref="C12:H12"/>
    <mergeCell ref="I12:K12"/>
    <mergeCell ref="L12:O12"/>
    <mergeCell ref="C13:H13"/>
    <mergeCell ref="I13:K13"/>
    <mergeCell ref="L13:O13"/>
    <mergeCell ref="C11:H11"/>
    <mergeCell ref="I11:K11"/>
    <mergeCell ref="L11:O11"/>
    <mergeCell ref="C6:G6"/>
    <mergeCell ref="K6:M6"/>
    <mergeCell ref="P6:Q6"/>
    <mergeCell ref="T6:U6"/>
    <mergeCell ref="B8:B10"/>
    <mergeCell ref="C8:H10"/>
    <mergeCell ref="I8:S8"/>
    <mergeCell ref="T8:U8"/>
    <mergeCell ref="I9:K10"/>
    <mergeCell ref="L9:O10"/>
    <mergeCell ref="P9:P10"/>
    <mergeCell ref="Q9:Q10"/>
    <mergeCell ref="R9:S9"/>
    <mergeCell ref="T9:T10"/>
    <mergeCell ref="U9:U10"/>
    <mergeCell ref="B5:U5"/>
    <mergeCell ref="B1:L1"/>
    <mergeCell ref="D4:H4"/>
    <mergeCell ref="L4:O4"/>
    <mergeCell ref="Q4:R4"/>
    <mergeCell ref="T4:U4"/>
  </mergeCells>
  <printOptions horizontalCentered="1"/>
  <pageMargins left="0.78740157480314965" right="0.78740157480314965" top="0.98425196850393704" bottom="0.98425196850393704" header="0" footer="0.39370078740157483"/>
  <pageSetup scale="60" fitToHeight="10" orientation="landscape" r:id="rId1"/>
  <headerFooter>
    <oddFooter>&amp;R&amp;P de &amp;N</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51"/>
  <sheetViews>
    <sheetView view="pageBreakPreview" topLeftCell="A15" zoomScale="80" zoomScaleNormal="80" zoomScaleSheetLayoutView="80" workbookViewId="0">
      <selection activeCell="R16" sqref="R16:U16"/>
    </sheetView>
  </sheetViews>
  <sheetFormatPr baseColWidth="10" defaultColWidth="10" defaultRowHeight="12.75" x14ac:dyDescent="0.2"/>
  <cols>
    <col min="1" max="1" width="3.5" style="1" customWidth="1"/>
    <col min="2" max="2" width="14.7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9.625" style="1" customWidth="1"/>
    <col min="19" max="19" width="13" style="1" customWidth="1"/>
    <col min="20" max="20" width="10.75" style="1" customWidth="1"/>
    <col min="21" max="21" width="11.37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50" t="s">
        <v>0</v>
      </c>
      <c r="C1" s="50"/>
      <c r="D1" s="50"/>
      <c r="E1" s="50"/>
      <c r="F1" s="50"/>
      <c r="G1" s="50"/>
      <c r="H1" s="50"/>
      <c r="I1" s="50"/>
      <c r="J1" s="50"/>
      <c r="K1" s="50"/>
      <c r="L1" s="50"/>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51.75" customHeight="1" thickTop="1" x14ac:dyDescent="0.2">
      <c r="B4" s="8" t="s">
        <v>6</v>
      </c>
      <c r="C4" s="9" t="s">
        <v>782</v>
      </c>
      <c r="D4" s="57" t="s">
        <v>783</v>
      </c>
      <c r="E4" s="57"/>
      <c r="F4" s="57"/>
      <c r="G4" s="57"/>
      <c r="H4" s="57"/>
      <c r="I4" s="10"/>
      <c r="J4" s="11" t="s">
        <v>9</v>
      </c>
      <c r="K4" s="12" t="s">
        <v>10</v>
      </c>
      <c r="L4" s="58" t="s">
        <v>11</v>
      </c>
      <c r="M4" s="58"/>
      <c r="N4" s="58"/>
      <c r="O4" s="58"/>
      <c r="P4" s="11" t="s">
        <v>12</v>
      </c>
      <c r="Q4" s="58" t="s">
        <v>784</v>
      </c>
      <c r="R4" s="58"/>
      <c r="S4" s="11" t="s">
        <v>14</v>
      </c>
      <c r="T4" s="58"/>
      <c r="U4" s="59"/>
    </row>
    <row r="5" spans="1:21" ht="15.75" customHeight="1" x14ac:dyDescent="0.2">
      <c r="B5" s="54" t="s">
        <v>15</v>
      </c>
      <c r="C5" s="55"/>
      <c r="D5" s="55"/>
      <c r="E5" s="55"/>
      <c r="F5" s="55"/>
      <c r="G5" s="55"/>
      <c r="H5" s="55"/>
      <c r="I5" s="55"/>
      <c r="J5" s="55"/>
      <c r="K5" s="55"/>
      <c r="L5" s="55"/>
      <c r="M5" s="55"/>
      <c r="N5" s="55"/>
      <c r="O5" s="55"/>
      <c r="P5" s="55"/>
      <c r="Q5" s="55"/>
      <c r="R5" s="55"/>
      <c r="S5" s="55"/>
      <c r="T5" s="55"/>
      <c r="U5" s="56"/>
    </row>
    <row r="6" spans="1:21" ht="37.5" customHeight="1" thickBot="1" x14ac:dyDescent="0.25">
      <c r="B6" s="13" t="s">
        <v>16</v>
      </c>
      <c r="C6" s="60" t="s">
        <v>17</v>
      </c>
      <c r="D6" s="60"/>
      <c r="E6" s="60"/>
      <c r="F6" s="60"/>
      <c r="G6" s="60"/>
      <c r="H6" s="14"/>
      <c r="I6" s="14"/>
      <c r="J6" s="14" t="s">
        <v>18</v>
      </c>
      <c r="K6" s="60" t="s">
        <v>19</v>
      </c>
      <c r="L6" s="60"/>
      <c r="M6" s="60"/>
      <c r="N6" s="15"/>
      <c r="O6" s="16" t="s">
        <v>20</v>
      </c>
      <c r="P6" s="60" t="s">
        <v>324</v>
      </c>
      <c r="Q6" s="60"/>
      <c r="R6" s="17"/>
      <c r="S6" s="16" t="s">
        <v>22</v>
      </c>
      <c r="T6" s="60" t="s">
        <v>785</v>
      </c>
      <c r="U6" s="61"/>
    </row>
    <row r="7" spans="1:21" ht="14.25" customHeight="1" thickTop="1" thickBot="1" x14ac:dyDescent="0.25">
      <c r="B7" s="4" t="s">
        <v>24</v>
      </c>
      <c r="C7" s="5"/>
      <c r="D7" s="5"/>
      <c r="E7" s="5"/>
      <c r="F7" s="5"/>
      <c r="G7" s="5"/>
      <c r="H7" s="6"/>
      <c r="I7" s="6"/>
      <c r="J7" s="6"/>
      <c r="K7" s="6"/>
      <c r="L7" s="6"/>
      <c r="M7" s="6"/>
      <c r="N7" s="6"/>
      <c r="O7" s="6"/>
      <c r="P7" s="6"/>
      <c r="Q7" s="6"/>
      <c r="R7" s="6"/>
      <c r="S7" s="6"/>
      <c r="T7" s="6"/>
      <c r="U7" s="7"/>
    </row>
    <row r="8" spans="1:21" ht="16.5" customHeight="1" thickTop="1" x14ac:dyDescent="0.2">
      <c r="B8" s="62" t="s">
        <v>25</v>
      </c>
      <c r="C8" s="65" t="s">
        <v>26</v>
      </c>
      <c r="D8" s="66"/>
      <c r="E8" s="66"/>
      <c r="F8" s="66"/>
      <c r="G8" s="66"/>
      <c r="H8" s="67"/>
      <c r="I8" s="74" t="s">
        <v>27</v>
      </c>
      <c r="J8" s="75"/>
      <c r="K8" s="75"/>
      <c r="L8" s="75"/>
      <c r="M8" s="75"/>
      <c r="N8" s="75"/>
      <c r="O8" s="75"/>
      <c r="P8" s="75"/>
      <c r="Q8" s="75"/>
      <c r="R8" s="75"/>
      <c r="S8" s="76"/>
      <c r="T8" s="77" t="s">
        <v>28</v>
      </c>
      <c r="U8" s="78"/>
    </row>
    <row r="9" spans="1:21" ht="19.5" customHeight="1" x14ac:dyDescent="0.2">
      <c r="B9" s="63"/>
      <c r="C9" s="68"/>
      <c r="D9" s="69"/>
      <c r="E9" s="69"/>
      <c r="F9" s="69"/>
      <c r="G9" s="69"/>
      <c r="H9" s="70"/>
      <c r="I9" s="79" t="s">
        <v>29</v>
      </c>
      <c r="J9" s="80"/>
      <c r="K9" s="80"/>
      <c r="L9" s="80" t="s">
        <v>30</v>
      </c>
      <c r="M9" s="80"/>
      <c r="N9" s="80"/>
      <c r="O9" s="80"/>
      <c r="P9" s="80" t="s">
        <v>31</v>
      </c>
      <c r="Q9" s="80" t="s">
        <v>32</v>
      </c>
      <c r="R9" s="83" t="s">
        <v>33</v>
      </c>
      <c r="S9" s="84"/>
      <c r="T9" s="80" t="s">
        <v>34</v>
      </c>
      <c r="U9" s="85" t="s">
        <v>35</v>
      </c>
    </row>
    <row r="10" spans="1:21" ht="26.25" customHeight="1" thickBot="1" x14ac:dyDescent="0.25">
      <c r="B10" s="64"/>
      <c r="C10" s="71"/>
      <c r="D10" s="72"/>
      <c r="E10" s="72"/>
      <c r="F10" s="72"/>
      <c r="G10" s="72"/>
      <c r="H10" s="73"/>
      <c r="I10" s="81"/>
      <c r="J10" s="82"/>
      <c r="K10" s="82"/>
      <c r="L10" s="82"/>
      <c r="M10" s="82"/>
      <c r="N10" s="82"/>
      <c r="O10" s="82"/>
      <c r="P10" s="82"/>
      <c r="Q10" s="82"/>
      <c r="R10" s="19" t="s">
        <v>36</v>
      </c>
      <c r="S10" s="20" t="s">
        <v>37</v>
      </c>
      <c r="T10" s="82"/>
      <c r="U10" s="86"/>
    </row>
    <row r="11" spans="1:21" ht="172.5" customHeight="1" thickTop="1" thickBot="1" x14ac:dyDescent="0.25">
      <c r="A11" s="21"/>
      <c r="B11" s="22" t="s">
        <v>38</v>
      </c>
      <c r="C11" s="87" t="s">
        <v>786</v>
      </c>
      <c r="D11" s="87"/>
      <c r="E11" s="87"/>
      <c r="F11" s="87"/>
      <c r="G11" s="87"/>
      <c r="H11" s="87"/>
      <c r="I11" s="87" t="s">
        <v>787</v>
      </c>
      <c r="J11" s="87"/>
      <c r="K11" s="87"/>
      <c r="L11" s="87" t="s">
        <v>788</v>
      </c>
      <c r="M11" s="87"/>
      <c r="N11" s="87"/>
      <c r="O11" s="87"/>
      <c r="P11" s="23" t="s">
        <v>789</v>
      </c>
      <c r="Q11" s="23" t="s">
        <v>43</v>
      </c>
      <c r="R11" s="23">
        <v>13.96</v>
      </c>
      <c r="S11" s="23">
        <v>13.96</v>
      </c>
      <c r="T11" s="23">
        <v>4.46</v>
      </c>
      <c r="U11" s="45">
        <f>31.94</f>
        <v>31.94</v>
      </c>
    </row>
    <row r="12" spans="1:21" ht="149.25" customHeight="1" thickTop="1" thickBot="1" x14ac:dyDescent="0.25">
      <c r="A12" s="21"/>
      <c r="B12" s="22" t="s">
        <v>44</v>
      </c>
      <c r="C12" s="87" t="s">
        <v>790</v>
      </c>
      <c r="D12" s="87"/>
      <c r="E12" s="87"/>
      <c r="F12" s="87"/>
      <c r="G12" s="87"/>
      <c r="H12" s="87"/>
      <c r="I12" s="87" t="s">
        <v>791</v>
      </c>
      <c r="J12" s="87"/>
      <c r="K12" s="87"/>
      <c r="L12" s="87" t="s">
        <v>792</v>
      </c>
      <c r="M12" s="87"/>
      <c r="N12" s="87"/>
      <c r="O12" s="87"/>
      <c r="P12" s="23" t="s">
        <v>48</v>
      </c>
      <c r="Q12" s="23" t="s">
        <v>43</v>
      </c>
      <c r="R12" s="23">
        <v>67.48</v>
      </c>
      <c r="S12" s="23">
        <v>67.48</v>
      </c>
      <c r="T12" s="104">
        <v>69.760000000000005</v>
      </c>
      <c r="U12" s="105">
        <v>103.38</v>
      </c>
    </row>
    <row r="13" spans="1:21" ht="132" customHeight="1" thickTop="1" x14ac:dyDescent="0.2">
      <c r="A13" s="21"/>
      <c r="B13" s="22" t="s">
        <v>50</v>
      </c>
      <c r="C13" s="87" t="s">
        <v>793</v>
      </c>
      <c r="D13" s="87"/>
      <c r="E13" s="87"/>
      <c r="F13" s="87"/>
      <c r="G13" s="87"/>
      <c r="H13" s="87"/>
      <c r="I13" s="87" t="s">
        <v>794</v>
      </c>
      <c r="J13" s="87"/>
      <c r="K13" s="87"/>
      <c r="L13" s="87" t="s">
        <v>795</v>
      </c>
      <c r="M13" s="87"/>
      <c r="N13" s="87"/>
      <c r="O13" s="87"/>
      <c r="P13" s="23" t="s">
        <v>789</v>
      </c>
      <c r="Q13" s="23" t="s">
        <v>43</v>
      </c>
      <c r="R13" s="44">
        <v>1200</v>
      </c>
      <c r="S13" s="44">
        <v>1200</v>
      </c>
      <c r="T13" s="44">
        <v>1006</v>
      </c>
      <c r="U13" s="45">
        <f>83.83</f>
        <v>83.83</v>
      </c>
    </row>
    <row r="14" spans="1:21" ht="75" customHeight="1" x14ac:dyDescent="0.2">
      <c r="A14" s="21"/>
      <c r="B14" s="24" t="s">
        <v>55</v>
      </c>
      <c r="C14" s="88" t="s">
        <v>796</v>
      </c>
      <c r="D14" s="88"/>
      <c r="E14" s="88"/>
      <c r="F14" s="88"/>
      <c r="G14" s="88"/>
      <c r="H14" s="88"/>
      <c r="I14" s="88" t="s">
        <v>797</v>
      </c>
      <c r="J14" s="88"/>
      <c r="K14" s="88"/>
      <c r="L14" s="88" t="s">
        <v>798</v>
      </c>
      <c r="M14" s="88"/>
      <c r="N14" s="88"/>
      <c r="O14" s="88"/>
      <c r="P14" s="25" t="s">
        <v>48</v>
      </c>
      <c r="Q14" s="25" t="s">
        <v>43</v>
      </c>
      <c r="R14" s="25">
        <v>89.97</v>
      </c>
      <c r="S14" s="25">
        <v>89.97</v>
      </c>
      <c r="T14" s="25">
        <v>0</v>
      </c>
      <c r="U14" s="46">
        <f>0</f>
        <v>0</v>
      </c>
    </row>
    <row r="15" spans="1:21" ht="132.75" customHeight="1" x14ac:dyDescent="0.2">
      <c r="A15" s="21"/>
      <c r="B15" s="24" t="s">
        <v>55</v>
      </c>
      <c r="C15" s="88" t="s">
        <v>799</v>
      </c>
      <c r="D15" s="88"/>
      <c r="E15" s="88"/>
      <c r="F15" s="88"/>
      <c r="G15" s="88"/>
      <c r="H15" s="88"/>
      <c r="I15" s="88" t="s">
        <v>800</v>
      </c>
      <c r="J15" s="88"/>
      <c r="K15" s="88"/>
      <c r="L15" s="88" t="s">
        <v>801</v>
      </c>
      <c r="M15" s="88"/>
      <c r="N15" s="88"/>
      <c r="O15" s="88"/>
      <c r="P15" s="25" t="s">
        <v>48</v>
      </c>
      <c r="Q15" s="25" t="s">
        <v>43</v>
      </c>
      <c r="R15" s="25">
        <v>11.01</v>
      </c>
      <c r="S15" s="25">
        <v>11.01</v>
      </c>
      <c r="T15" s="25">
        <v>20.79</v>
      </c>
      <c r="U15" s="46">
        <f>188.82</f>
        <v>188.82</v>
      </c>
    </row>
    <row r="16" spans="1:21" ht="173.25" customHeight="1" thickBot="1" x14ac:dyDescent="0.25">
      <c r="A16" s="21"/>
      <c r="B16" s="24" t="s">
        <v>55</v>
      </c>
      <c r="C16" s="88" t="s">
        <v>802</v>
      </c>
      <c r="D16" s="88"/>
      <c r="E16" s="88"/>
      <c r="F16" s="88"/>
      <c r="G16" s="88"/>
      <c r="H16" s="88"/>
      <c r="I16" s="88" t="s">
        <v>803</v>
      </c>
      <c r="J16" s="88"/>
      <c r="K16" s="88"/>
      <c r="L16" s="88" t="s">
        <v>804</v>
      </c>
      <c r="M16" s="88"/>
      <c r="N16" s="88"/>
      <c r="O16" s="88"/>
      <c r="P16" s="25" t="s">
        <v>48</v>
      </c>
      <c r="Q16" s="25" t="s">
        <v>43</v>
      </c>
      <c r="R16" s="25">
        <v>25.12</v>
      </c>
      <c r="S16" s="25">
        <v>25.12</v>
      </c>
      <c r="T16" s="25">
        <v>25.38</v>
      </c>
      <c r="U16" s="46">
        <f>101.03</f>
        <v>101.03</v>
      </c>
    </row>
    <row r="17" spans="1:22" ht="96.75" customHeight="1" thickTop="1" x14ac:dyDescent="0.2">
      <c r="A17" s="21"/>
      <c r="B17" s="22" t="s">
        <v>61</v>
      </c>
      <c r="C17" s="87" t="s">
        <v>805</v>
      </c>
      <c r="D17" s="87"/>
      <c r="E17" s="87"/>
      <c r="F17" s="87"/>
      <c r="G17" s="87"/>
      <c r="H17" s="87"/>
      <c r="I17" s="87" t="s">
        <v>806</v>
      </c>
      <c r="J17" s="87"/>
      <c r="K17" s="87"/>
      <c r="L17" s="87" t="s">
        <v>807</v>
      </c>
      <c r="M17" s="87"/>
      <c r="N17" s="87"/>
      <c r="O17" s="87"/>
      <c r="P17" s="23" t="s">
        <v>48</v>
      </c>
      <c r="Q17" s="23" t="s">
        <v>66</v>
      </c>
      <c r="R17" s="23">
        <v>14</v>
      </c>
      <c r="S17" s="23">
        <v>9.0299999999999994</v>
      </c>
      <c r="T17" s="23">
        <v>9.19</v>
      </c>
      <c r="U17" s="45">
        <f>101.77</f>
        <v>101.77</v>
      </c>
    </row>
    <row r="18" spans="1:22" ht="109.5" customHeight="1" x14ac:dyDescent="0.2">
      <c r="A18" s="21"/>
      <c r="B18" s="24" t="s">
        <v>55</v>
      </c>
      <c r="C18" s="88" t="s">
        <v>808</v>
      </c>
      <c r="D18" s="88"/>
      <c r="E18" s="88"/>
      <c r="F18" s="88"/>
      <c r="G18" s="88"/>
      <c r="H18" s="88"/>
      <c r="I18" s="88" t="s">
        <v>809</v>
      </c>
      <c r="J18" s="88"/>
      <c r="K18" s="88"/>
      <c r="L18" s="88" t="s">
        <v>810</v>
      </c>
      <c r="M18" s="88"/>
      <c r="N18" s="88"/>
      <c r="O18" s="88"/>
      <c r="P18" s="25" t="s">
        <v>48</v>
      </c>
      <c r="Q18" s="25" t="s">
        <v>71</v>
      </c>
      <c r="R18" s="25">
        <v>0.9</v>
      </c>
      <c r="S18" s="25">
        <v>2.7</v>
      </c>
      <c r="T18" s="25">
        <v>13.22</v>
      </c>
      <c r="U18" s="46">
        <f>489.62</f>
        <v>489.62</v>
      </c>
    </row>
    <row r="19" spans="1:22" ht="130.5" customHeight="1" x14ac:dyDescent="0.2">
      <c r="A19" s="21"/>
      <c r="B19" s="24" t="s">
        <v>55</v>
      </c>
      <c r="C19" s="88" t="s">
        <v>811</v>
      </c>
      <c r="D19" s="88"/>
      <c r="E19" s="88"/>
      <c r="F19" s="88"/>
      <c r="G19" s="88"/>
      <c r="H19" s="88"/>
      <c r="I19" s="88" t="s">
        <v>812</v>
      </c>
      <c r="J19" s="88"/>
      <c r="K19" s="88"/>
      <c r="L19" s="88" t="s">
        <v>813</v>
      </c>
      <c r="M19" s="88"/>
      <c r="N19" s="88"/>
      <c r="O19" s="88"/>
      <c r="P19" s="25" t="s">
        <v>48</v>
      </c>
      <c r="Q19" s="25" t="s">
        <v>66</v>
      </c>
      <c r="R19" s="25">
        <v>10.16</v>
      </c>
      <c r="S19" s="25">
        <v>5.5</v>
      </c>
      <c r="T19" s="25">
        <v>4.6500000000000004</v>
      </c>
      <c r="U19" s="46">
        <f>84.54</f>
        <v>84.54</v>
      </c>
    </row>
    <row r="20" spans="1:22" ht="96.75" customHeight="1" x14ac:dyDescent="0.2">
      <c r="A20" s="21"/>
      <c r="B20" s="24" t="s">
        <v>55</v>
      </c>
      <c r="C20" s="88" t="s">
        <v>814</v>
      </c>
      <c r="D20" s="88"/>
      <c r="E20" s="88"/>
      <c r="F20" s="88"/>
      <c r="G20" s="88"/>
      <c r="H20" s="88"/>
      <c r="I20" s="88" t="s">
        <v>815</v>
      </c>
      <c r="J20" s="88"/>
      <c r="K20" s="88"/>
      <c r="L20" s="88" t="s">
        <v>816</v>
      </c>
      <c r="M20" s="88"/>
      <c r="N20" s="88"/>
      <c r="O20" s="88"/>
      <c r="P20" s="25" t="s">
        <v>48</v>
      </c>
      <c r="Q20" s="25" t="s">
        <v>71</v>
      </c>
      <c r="R20" s="25">
        <v>16.670000000000002</v>
      </c>
      <c r="S20" s="25">
        <v>16.670000000000002</v>
      </c>
      <c r="T20" s="25">
        <v>44.43</v>
      </c>
      <c r="U20" s="46">
        <f>266.52</f>
        <v>266.52</v>
      </c>
    </row>
    <row r="21" spans="1:22" ht="81" customHeight="1" x14ac:dyDescent="0.2">
      <c r="A21" s="21"/>
      <c r="B21" s="24" t="s">
        <v>55</v>
      </c>
      <c r="C21" s="88" t="s">
        <v>817</v>
      </c>
      <c r="D21" s="88"/>
      <c r="E21" s="88"/>
      <c r="F21" s="88"/>
      <c r="G21" s="88"/>
      <c r="H21" s="88"/>
      <c r="I21" s="88" t="s">
        <v>818</v>
      </c>
      <c r="J21" s="88"/>
      <c r="K21" s="88"/>
      <c r="L21" s="88" t="s">
        <v>819</v>
      </c>
      <c r="M21" s="88"/>
      <c r="N21" s="88"/>
      <c r="O21" s="88"/>
      <c r="P21" s="25" t="s">
        <v>48</v>
      </c>
      <c r="Q21" s="25" t="s">
        <v>66</v>
      </c>
      <c r="R21" s="25">
        <v>4.5</v>
      </c>
      <c r="S21" s="25">
        <v>4.5</v>
      </c>
      <c r="T21" s="25">
        <v>15.29</v>
      </c>
      <c r="U21" s="46">
        <f>339.77</f>
        <v>339.77</v>
      </c>
    </row>
    <row r="22" spans="1:22" ht="117.75" customHeight="1" x14ac:dyDescent="0.2">
      <c r="A22" s="21"/>
      <c r="B22" s="24" t="s">
        <v>55</v>
      </c>
      <c r="C22" s="88" t="s">
        <v>820</v>
      </c>
      <c r="D22" s="88"/>
      <c r="E22" s="88"/>
      <c r="F22" s="88"/>
      <c r="G22" s="88"/>
      <c r="H22" s="88"/>
      <c r="I22" s="88" t="s">
        <v>821</v>
      </c>
      <c r="J22" s="88"/>
      <c r="K22" s="88"/>
      <c r="L22" s="88" t="s">
        <v>822</v>
      </c>
      <c r="M22" s="88"/>
      <c r="N22" s="88"/>
      <c r="O22" s="88"/>
      <c r="P22" s="25" t="s">
        <v>48</v>
      </c>
      <c r="Q22" s="25" t="s">
        <v>66</v>
      </c>
      <c r="R22" s="25">
        <v>100</v>
      </c>
      <c r="S22" s="25">
        <v>100</v>
      </c>
      <c r="T22" s="25">
        <v>123.2</v>
      </c>
      <c r="U22" s="46">
        <f>123.2</f>
        <v>123.2</v>
      </c>
    </row>
    <row r="23" spans="1:22" ht="75" customHeight="1" x14ac:dyDescent="0.2">
      <c r="A23" s="21"/>
      <c r="B23" s="24" t="s">
        <v>55</v>
      </c>
      <c r="C23" s="88" t="s">
        <v>823</v>
      </c>
      <c r="D23" s="88"/>
      <c r="E23" s="88"/>
      <c r="F23" s="88"/>
      <c r="G23" s="88"/>
      <c r="H23" s="88"/>
      <c r="I23" s="88" t="s">
        <v>824</v>
      </c>
      <c r="J23" s="88"/>
      <c r="K23" s="88"/>
      <c r="L23" s="88" t="s">
        <v>825</v>
      </c>
      <c r="M23" s="88"/>
      <c r="N23" s="88"/>
      <c r="O23" s="88"/>
      <c r="P23" s="25" t="s">
        <v>48</v>
      </c>
      <c r="Q23" s="25" t="s">
        <v>71</v>
      </c>
      <c r="R23" s="25">
        <v>100</v>
      </c>
      <c r="S23" s="25">
        <v>100</v>
      </c>
      <c r="T23" s="25">
        <v>0</v>
      </c>
      <c r="U23" s="46">
        <f>0</f>
        <v>0</v>
      </c>
    </row>
    <row r="24" spans="1:22" ht="107.25" customHeight="1" x14ac:dyDescent="0.2">
      <c r="A24" s="21"/>
      <c r="B24" s="24" t="s">
        <v>55</v>
      </c>
      <c r="C24" s="88" t="s">
        <v>826</v>
      </c>
      <c r="D24" s="88"/>
      <c r="E24" s="88"/>
      <c r="F24" s="88"/>
      <c r="G24" s="88"/>
      <c r="H24" s="88"/>
      <c r="I24" s="88" t="s">
        <v>827</v>
      </c>
      <c r="J24" s="88"/>
      <c r="K24" s="88"/>
      <c r="L24" s="88" t="s">
        <v>828</v>
      </c>
      <c r="M24" s="88"/>
      <c r="N24" s="88"/>
      <c r="O24" s="88"/>
      <c r="P24" s="25" t="s">
        <v>48</v>
      </c>
      <c r="Q24" s="25" t="s">
        <v>66</v>
      </c>
      <c r="R24" s="25">
        <v>14</v>
      </c>
      <c r="S24" s="25">
        <v>14</v>
      </c>
      <c r="T24" s="25">
        <v>10.9</v>
      </c>
      <c r="U24" s="46">
        <f>77.85</f>
        <v>77.849999999999994</v>
      </c>
    </row>
    <row r="25" spans="1:22" ht="87.75" customHeight="1" x14ac:dyDescent="0.2">
      <c r="A25" s="21"/>
      <c r="B25" s="24" t="s">
        <v>55</v>
      </c>
      <c r="C25" s="88" t="s">
        <v>829</v>
      </c>
      <c r="D25" s="88"/>
      <c r="E25" s="88"/>
      <c r="F25" s="88"/>
      <c r="G25" s="88"/>
      <c r="H25" s="88"/>
      <c r="I25" s="88" t="s">
        <v>830</v>
      </c>
      <c r="J25" s="88"/>
      <c r="K25" s="88"/>
      <c r="L25" s="88" t="s">
        <v>831</v>
      </c>
      <c r="M25" s="88"/>
      <c r="N25" s="88"/>
      <c r="O25" s="88"/>
      <c r="P25" s="25" t="s">
        <v>48</v>
      </c>
      <c r="Q25" s="25" t="s">
        <v>66</v>
      </c>
      <c r="R25" s="25">
        <v>4.5</v>
      </c>
      <c r="S25" s="25">
        <v>4.5</v>
      </c>
      <c r="T25" s="25">
        <v>8.67</v>
      </c>
      <c r="U25" s="46">
        <f>192.66</f>
        <v>192.66</v>
      </c>
    </row>
    <row r="26" spans="1:22" ht="153.75" customHeight="1" x14ac:dyDescent="0.2">
      <c r="A26" s="21"/>
      <c r="B26" s="24" t="s">
        <v>55</v>
      </c>
      <c r="C26" s="88" t="s">
        <v>832</v>
      </c>
      <c r="D26" s="88"/>
      <c r="E26" s="88"/>
      <c r="F26" s="88"/>
      <c r="G26" s="88"/>
      <c r="H26" s="88"/>
      <c r="I26" s="88" t="s">
        <v>833</v>
      </c>
      <c r="J26" s="88"/>
      <c r="K26" s="88"/>
      <c r="L26" s="88" t="s">
        <v>834</v>
      </c>
      <c r="M26" s="88"/>
      <c r="N26" s="88"/>
      <c r="O26" s="88"/>
      <c r="P26" s="25" t="s">
        <v>48</v>
      </c>
      <c r="Q26" s="25" t="s">
        <v>71</v>
      </c>
      <c r="R26" s="25">
        <v>37.39</v>
      </c>
      <c r="S26" s="25">
        <v>37.39</v>
      </c>
      <c r="T26" s="25">
        <v>50.05</v>
      </c>
      <c r="U26" s="46">
        <f>133.85</f>
        <v>133.85</v>
      </c>
    </row>
    <row r="27" spans="1:22" ht="144.75" customHeight="1" thickBot="1" x14ac:dyDescent="0.25">
      <c r="A27" s="21"/>
      <c r="B27" s="24" t="s">
        <v>55</v>
      </c>
      <c r="C27" s="88" t="s">
        <v>835</v>
      </c>
      <c r="D27" s="88"/>
      <c r="E27" s="88"/>
      <c r="F27" s="88"/>
      <c r="G27" s="88"/>
      <c r="H27" s="88"/>
      <c r="I27" s="88" t="s">
        <v>836</v>
      </c>
      <c r="J27" s="88"/>
      <c r="K27" s="88"/>
      <c r="L27" s="88" t="s">
        <v>837</v>
      </c>
      <c r="M27" s="88"/>
      <c r="N27" s="88"/>
      <c r="O27" s="88"/>
      <c r="P27" s="25" t="s">
        <v>48</v>
      </c>
      <c r="Q27" s="25" t="s">
        <v>71</v>
      </c>
      <c r="R27" s="25">
        <v>15.37</v>
      </c>
      <c r="S27" s="25">
        <v>15.37</v>
      </c>
      <c r="T27" s="25">
        <v>5.77</v>
      </c>
      <c r="U27" s="46">
        <f>37.54</f>
        <v>37.54</v>
      </c>
    </row>
    <row r="28" spans="1:22" ht="14.25" customHeight="1" thickTop="1" thickBot="1" x14ac:dyDescent="0.25">
      <c r="B28" s="4" t="s">
        <v>80</v>
      </c>
      <c r="C28" s="5"/>
      <c r="D28" s="5"/>
      <c r="E28" s="5"/>
      <c r="F28" s="5"/>
      <c r="G28" s="5"/>
      <c r="H28" s="6"/>
      <c r="I28" s="6"/>
      <c r="J28" s="6"/>
      <c r="K28" s="6"/>
      <c r="L28" s="6"/>
      <c r="M28" s="6"/>
      <c r="N28" s="6"/>
      <c r="O28" s="6"/>
      <c r="P28" s="6"/>
      <c r="Q28" s="6"/>
      <c r="R28" s="6"/>
      <c r="S28" s="6"/>
      <c r="T28" s="6"/>
      <c r="U28" s="7"/>
      <c r="V28" s="26"/>
    </row>
    <row r="29" spans="1:22" ht="26.25" customHeight="1" thickTop="1" x14ac:dyDescent="0.2">
      <c r="B29" s="27"/>
      <c r="C29" s="28"/>
      <c r="D29" s="28"/>
      <c r="E29" s="28"/>
      <c r="F29" s="28"/>
      <c r="G29" s="28"/>
      <c r="H29" s="29"/>
      <c r="I29" s="29"/>
      <c r="J29" s="29"/>
      <c r="K29" s="29"/>
      <c r="L29" s="29"/>
      <c r="M29" s="29"/>
      <c r="N29" s="29"/>
      <c r="O29" s="29"/>
      <c r="P29" s="29"/>
      <c r="Q29" s="29"/>
      <c r="R29" s="30"/>
      <c r="S29" s="31" t="s">
        <v>33</v>
      </c>
      <c r="T29" s="31" t="s">
        <v>81</v>
      </c>
      <c r="U29" s="18" t="s">
        <v>82</v>
      </c>
    </row>
    <row r="30" spans="1:22" ht="26.25" customHeight="1" thickBot="1" x14ac:dyDescent="0.25">
      <c r="B30" s="32"/>
      <c r="C30" s="33"/>
      <c r="D30" s="33"/>
      <c r="E30" s="33"/>
      <c r="F30" s="33"/>
      <c r="G30" s="33"/>
      <c r="H30" s="34"/>
      <c r="I30" s="34"/>
      <c r="J30" s="34"/>
      <c r="K30" s="34"/>
      <c r="L30" s="34"/>
      <c r="M30" s="34"/>
      <c r="N30" s="34"/>
      <c r="O30" s="34"/>
      <c r="P30" s="34"/>
      <c r="Q30" s="34"/>
      <c r="R30" s="34"/>
      <c r="S30" s="35" t="s">
        <v>83</v>
      </c>
      <c r="T30" s="36" t="s">
        <v>83</v>
      </c>
      <c r="U30" s="36" t="s">
        <v>84</v>
      </c>
    </row>
    <row r="31" spans="1:22" ht="13.5" customHeight="1" thickBot="1" x14ac:dyDescent="0.25">
      <c r="B31" s="92" t="s">
        <v>85</v>
      </c>
      <c r="C31" s="93"/>
      <c r="D31" s="93"/>
      <c r="E31" s="37"/>
      <c r="F31" s="37"/>
      <c r="G31" s="37"/>
      <c r="H31" s="38"/>
      <c r="I31" s="38"/>
      <c r="J31" s="38"/>
      <c r="K31" s="38"/>
      <c r="L31" s="38"/>
      <c r="M31" s="38"/>
      <c r="N31" s="38"/>
      <c r="O31" s="38"/>
      <c r="P31" s="39"/>
      <c r="Q31" s="39"/>
      <c r="R31" s="39"/>
      <c r="S31" s="48">
        <v>366.11852699999997</v>
      </c>
      <c r="T31" s="48">
        <v>233.44056447999995</v>
      </c>
      <c r="U31" s="49">
        <f>+IF(ISERR(T31/S31*100),"N/A",ROUND(T31/S31*100,1))</f>
        <v>63.8</v>
      </c>
    </row>
    <row r="32" spans="1:22" ht="13.5" customHeight="1" thickBot="1" x14ac:dyDescent="0.25">
      <c r="B32" s="94" t="s">
        <v>86</v>
      </c>
      <c r="C32" s="95"/>
      <c r="D32" s="95"/>
      <c r="E32" s="40"/>
      <c r="F32" s="40"/>
      <c r="G32" s="40"/>
      <c r="H32" s="41"/>
      <c r="I32" s="41"/>
      <c r="J32" s="41"/>
      <c r="K32" s="41"/>
      <c r="L32" s="41"/>
      <c r="M32" s="41"/>
      <c r="N32" s="41"/>
      <c r="O32" s="41"/>
      <c r="P32" s="42"/>
      <c r="Q32" s="42"/>
      <c r="R32" s="42"/>
      <c r="S32" s="48">
        <v>233.44056447999986</v>
      </c>
      <c r="T32" s="48">
        <v>233.44056447999995</v>
      </c>
      <c r="U32" s="49">
        <f>+IF(ISERR(T32/S32*100),"N/A",ROUND(T32/S32*100,1))</f>
        <v>100</v>
      </c>
    </row>
    <row r="33" spans="2:21" ht="14.85" customHeight="1" thickTop="1" thickBot="1" x14ac:dyDescent="0.25">
      <c r="B33" s="4" t="s">
        <v>87</v>
      </c>
      <c r="C33" s="5"/>
      <c r="D33" s="5"/>
      <c r="E33" s="5"/>
      <c r="F33" s="5"/>
      <c r="G33" s="5"/>
      <c r="H33" s="6"/>
      <c r="I33" s="6"/>
      <c r="J33" s="6"/>
      <c r="K33" s="6"/>
      <c r="L33" s="6"/>
      <c r="M33" s="6"/>
      <c r="N33" s="6"/>
      <c r="O33" s="6"/>
      <c r="P33" s="6"/>
      <c r="Q33" s="6"/>
      <c r="R33" s="6"/>
      <c r="S33" s="6"/>
      <c r="T33" s="6"/>
      <c r="U33" s="7"/>
    </row>
    <row r="34" spans="2:21" ht="44.25" customHeight="1" thickTop="1" x14ac:dyDescent="0.2">
      <c r="B34" s="89" t="s">
        <v>88</v>
      </c>
      <c r="C34" s="90"/>
      <c r="D34" s="90"/>
      <c r="E34" s="90"/>
      <c r="F34" s="90"/>
      <c r="G34" s="90"/>
      <c r="H34" s="90"/>
      <c r="I34" s="90"/>
      <c r="J34" s="90"/>
      <c r="K34" s="90"/>
      <c r="L34" s="90"/>
      <c r="M34" s="90"/>
      <c r="N34" s="90"/>
      <c r="O34" s="90"/>
      <c r="P34" s="90"/>
      <c r="Q34" s="90"/>
      <c r="R34" s="90"/>
      <c r="S34" s="90"/>
      <c r="T34" s="90"/>
      <c r="U34" s="91"/>
    </row>
    <row r="35" spans="2:21" ht="96.75" customHeight="1" x14ac:dyDescent="0.2">
      <c r="B35" s="96" t="s">
        <v>838</v>
      </c>
      <c r="C35" s="97"/>
      <c r="D35" s="97"/>
      <c r="E35" s="97"/>
      <c r="F35" s="97"/>
      <c r="G35" s="97"/>
      <c r="H35" s="97"/>
      <c r="I35" s="97"/>
      <c r="J35" s="97"/>
      <c r="K35" s="97"/>
      <c r="L35" s="97"/>
      <c r="M35" s="97"/>
      <c r="N35" s="97"/>
      <c r="O35" s="97"/>
      <c r="P35" s="97"/>
      <c r="Q35" s="97"/>
      <c r="R35" s="97"/>
      <c r="S35" s="97"/>
      <c r="T35" s="97"/>
      <c r="U35" s="98"/>
    </row>
    <row r="36" spans="2:21" ht="134.25" customHeight="1" x14ac:dyDescent="0.2">
      <c r="B36" s="96" t="s">
        <v>839</v>
      </c>
      <c r="C36" s="97"/>
      <c r="D36" s="97"/>
      <c r="E36" s="97"/>
      <c r="F36" s="97"/>
      <c r="G36" s="97"/>
      <c r="H36" s="97"/>
      <c r="I36" s="97"/>
      <c r="J36" s="97"/>
      <c r="K36" s="97"/>
      <c r="L36" s="97"/>
      <c r="M36" s="97"/>
      <c r="N36" s="97"/>
      <c r="O36" s="97"/>
      <c r="P36" s="97"/>
      <c r="Q36" s="97"/>
      <c r="R36" s="97"/>
      <c r="S36" s="97"/>
      <c r="T36" s="97"/>
      <c r="U36" s="98"/>
    </row>
    <row r="37" spans="2:21" ht="80.099999999999994" customHeight="1" x14ac:dyDescent="0.2">
      <c r="B37" s="96" t="s">
        <v>840</v>
      </c>
      <c r="C37" s="97"/>
      <c r="D37" s="97"/>
      <c r="E37" s="97"/>
      <c r="F37" s="97"/>
      <c r="G37" s="97"/>
      <c r="H37" s="97"/>
      <c r="I37" s="97"/>
      <c r="J37" s="97"/>
      <c r="K37" s="97"/>
      <c r="L37" s="97"/>
      <c r="M37" s="97"/>
      <c r="N37" s="97"/>
      <c r="O37" s="97"/>
      <c r="P37" s="97"/>
      <c r="Q37" s="97"/>
      <c r="R37" s="97"/>
      <c r="S37" s="97"/>
      <c r="T37" s="97"/>
      <c r="U37" s="98"/>
    </row>
    <row r="38" spans="2:21" ht="146.25" customHeight="1" x14ac:dyDescent="0.2">
      <c r="B38" s="96" t="s">
        <v>841</v>
      </c>
      <c r="C38" s="97"/>
      <c r="D38" s="97"/>
      <c r="E38" s="97"/>
      <c r="F38" s="97"/>
      <c r="G38" s="97"/>
      <c r="H38" s="97"/>
      <c r="I38" s="97"/>
      <c r="J38" s="97"/>
      <c r="K38" s="97"/>
      <c r="L38" s="97"/>
      <c r="M38" s="97"/>
      <c r="N38" s="97"/>
      <c r="O38" s="97"/>
      <c r="P38" s="97"/>
      <c r="Q38" s="97"/>
      <c r="R38" s="97"/>
      <c r="S38" s="97"/>
      <c r="T38" s="97"/>
      <c r="U38" s="98"/>
    </row>
    <row r="39" spans="2:21" ht="90.75" customHeight="1" x14ac:dyDescent="0.2">
      <c r="B39" s="96" t="s">
        <v>842</v>
      </c>
      <c r="C39" s="97"/>
      <c r="D39" s="97"/>
      <c r="E39" s="97"/>
      <c r="F39" s="97"/>
      <c r="G39" s="97"/>
      <c r="H39" s="97"/>
      <c r="I39" s="97"/>
      <c r="J39" s="97"/>
      <c r="K39" s="97"/>
      <c r="L39" s="97"/>
      <c r="M39" s="97"/>
      <c r="N39" s="97"/>
      <c r="O39" s="97"/>
      <c r="P39" s="97"/>
      <c r="Q39" s="97"/>
      <c r="R39" s="97"/>
      <c r="S39" s="97"/>
      <c r="T39" s="97"/>
      <c r="U39" s="98"/>
    </row>
    <row r="40" spans="2:21" ht="176.25" customHeight="1" x14ac:dyDescent="0.2">
      <c r="B40" s="96" t="s">
        <v>843</v>
      </c>
      <c r="C40" s="97"/>
      <c r="D40" s="97"/>
      <c r="E40" s="97"/>
      <c r="F40" s="97"/>
      <c r="G40" s="97"/>
      <c r="H40" s="97"/>
      <c r="I40" s="97"/>
      <c r="J40" s="97"/>
      <c r="K40" s="97"/>
      <c r="L40" s="97"/>
      <c r="M40" s="97"/>
      <c r="N40" s="97"/>
      <c r="O40" s="97"/>
      <c r="P40" s="97"/>
      <c r="Q40" s="97"/>
      <c r="R40" s="97"/>
      <c r="S40" s="97"/>
      <c r="T40" s="97"/>
      <c r="U40" s="98"/>
    </row>
    <row r="41" spans="2:21" ht="89.25" customHeight="1" x14ac:dyDescent="0.2">
      <c r="B41" s="96" t="s">
        <v>844</v>
      </c>
      <c r="C41" s="97"/>
      <c r="D41" s="97"/>
      <c r="E41" s="97"/>
      <c r="F41" s="97"/>
      <c r="G41" s="97"/>
      <c r="H41" s="97"/>
      <c r="I41" s="97"/>
      <c r="J41" s="97"/>
      <c r="K41" s="97"/>
      <c r="L41" s="97"/>
      <c r="M41" s="97"/>
      <c r="N41" s="97"/>
      <c r="O41" s="97"/>
      <c r="P41" s="97"/>
      <c r="Q41" s="97"/>
      <c r="R41" s="97"/>
      <c r="S41" s="97"/>
      <c r="T41" s="97"/>
      <c r="U41" s="98"/>
    </row>
    <row r="42" spans="2:21" ht="89.1" customHeight="1" x14ac:dyDescent="0.2">
      <c r="B42" s="96" t="s">
        <v>845</v>
      </c>
      <c r="C42" s="97"/>
      <c r="D42" s="97"/>
      <c r="E42" s="97"/>
      <c r="F42" s="97"/>
      <c r="G42" s="97"/>
      <c r="H42" s="97"/>
      <c r="I42" s="97"/>
      <c r="J42" s="97"/>
      <c r="K42" s="97"/>
      <c r="L42" s="97"/>
      <c r="M42" s="97"/>
      <c r="N42" s="97"/>
      <c r="O42" s="97"/>
      <c r="P42" s="97"/>
      <c r="Q42" s="97"/>
      <c r="R42" s="97"/>
      <c r="S42" s="97"/>
      <c r="T42" s="97"/>
      <c r="U42" s="98"/>
    </row>
    <row r="43" spans="2:21" ht="135" customHeight="1" x14ac:dyDescent="0.2">
      <c r="B43" s="96" t="s">
        <v>846</v>
      </c>
      <c r="C43" s="97"/>
      <c r="D43" s="97"/>
      <c r="E43" s="97"/>
      <c r="F43" s="97"/>
      <c r="G43" s="97"/>
      <c r="H43" s="97"/>
      <c r="I43" s="97"/>
      <c r="J43" s="97"/>
      <c r="K43" s="97"/>
      <c r="L43" s="97"/>
      <c r="M43" s="97"/>
      <c r="N43" s="97"/>
      <c r="O43" s="97"/>
      <c r="P43" s="97"/>
      <c r="Q43" s="97"/>
      <c r="R43" s="97"/>
      <c r="S43" s="97"/>
      <c r="T43" s="97"/>
      <c r="U43" s="98"/>
    </row>
    <row r="44" spans="2:21" ht="75.2" customHeight="1" x14ac:dyDescent="0.2">
      <c r="B44" s="96" t="s">
        <v>847</v>
      </c>
      <c r="C44" s="97"/>
      <c r="D44" s="97"/>
      <c r="E44" s="97"/>
      <c r="F44" s="97"/>
      <c r="G44" s="97"/>
      <c r="H44" s="97"/>
      <c r="I44" s="97"/>
      <c r="J44" s="97"/>
      <c r="K44" s="97"/>
      <c r="L44" s="97"/>
      <c r="M44" s="97"/>
      <c r="N44" s="97"/>
      <c r="O44" s="97"/>
      <c r="P44" s="97"/>
      <c r="Q44" s="97"/>
      <c r="R44" s="97"/>
      <c r="S44" s="97"/>
      <c r="T44" s="97"/>
      <c r="U44" s="98"/>
    </row>
    <row r="45" spans="2:21" ht="89.25" customHeight="1" x14ac:dyDescent="0.2">
      <c r="B45" s="96" t="s">
        <v>848</v>
      </c>
      <c r="C45" s="97"/>
      <c r="D45" s="97"/>
      <c r="E45" s="97"/>
      <c r="F45" s="97"/>
      <c r="G45" s="97"/>
      <c r="H45" s="97"/>
      <c r="I45" s="97"/>
      <c r="J45" s="97"/>
      <c r="K45" s="97"/>
      <c r="L45" s="97"/>
      <c r="M45" s="97"/>
      <c r="N45" s="97"/>
      <c r="O45" s="97"/>
      <c r="P45" s="97"/>
      <c r="Q45" s="97"/>
      <c r="R45" s="97"/>
      <c r="S45" s="97"/>
      <c r="T45" s="97"/>
      <c r="U45" s="98"/>
    </row>
    <row r="46" spans="2:21" ht="103.5" customHeight="1" x14ac:dyDescent="0.2">
      <c r="B46" s="96" t="s">
        <v>849</v>
      </c>
      <c r="C46" s="97"/>
      <c r="D46" s="97"/>
      <c r="E46" s="97"/>
      <c r="F46" s="97"/>
      <c r="G46" s="97"/>
      <c r="H46" s="97"/>
      <c r="I46" s="97"/>
      <c r="J46" s="97"/>
      <c r="K46" s="97"/>
      <c r="L46" s="97"/>
      <c r="M46" s="97"/>
      <c r="N46" s="97"/>
      <c r="O46" s="97"/>
      <c r="P46" s="97"/>
      <c r="Q46" s="97"/>
      <c r="R46" s="97"/>
      <c r="S46" s="97"/>
      <c r="T46" s="97"/>
      <c r="U46" s="98"/>
    </row>
    <row r="47" spans="2:21" ht="202.5" customHeight="1" x14ac:dyDescent="0.2">
      <c r="B47" s="96" t="s">
        <v>850</v>
      </c>
      <c r="C47" s="97"/>
      <c r="D47" s="97"/>
      <c r="E47" s="97"/>
      <c r="F47" s="97"/>
      <c r="G47" s="97"/>
      <c r="H47" s="97"/>
      <c r="I47" s="97"/>
      <c r="J47" s="97"/>
      <c r="K47" s="97"/>
      <c r="L47" s="97"/>
      <c r="M47" s="97"/>
      <c r="N47" s="97"/>
      <c r="O47" s="97"/>
      <c r="P47" s="97"/>
      <c r="Q47" s="97"/>
      <c r="R47" s="97"/>
      <c r="S47" s="97"/>
      <c r="T47" s="97"/>
      <c r="U47" s="98"/>
    </row>
    <row r="48" spans="2:21" ht="103.5" customHeight="1" x14ac:dyDescent="0.2">
      <c r="B48" s="96" t="s">
        <v>851</v>
      </c>
      <c r="C48" s="97"/>
      <c r="D48" s="97"/>
      <c r="E48" s="97"/>
      <c r="F48" s="97"/>
      <c r="G48" s="97"/>
      <c r="H48" s="97"/>
      <c r="I48" s="97"/>
      <c r="J48" s="97"/>
      <c r="K48" s="97"/>
      <c r="L48" s="97"/>
      <c r="M48" s="97"/>
      <c r="N48" s="97"/>
      <c r="O48" s="97"/>
      <c r="P48" s="97"/>
      <c r="Q48" s="97"/>
      <c r="R48" s="97"/>
      <c r="S48" s="97"/>
      <c r="T48" s="97"/>
      <c r="U48" s="98"/>
    </row>
    <row r="49" spans="2:21" ht="81" customHeight="1" x14ac:dyDescent="0.2">
      <c r="B49" s="96" t="s">
        <v>852</v>
      </c>
      <c r="C49" s="97"/>
      <c r="D49" s="97"/>
      <c r="E49" s="97"/>
      <c r="F49" s="97"/>
      <c r="G49" s="97"/>
      <c r="H49" s="97"/>
      <c r="I49" s="97"/>
      <c r="J49" s="97"/>
      <c r="K49" s="97"/>
      <c r="L49" s="97"/>
      <c r="M49" s="97"/>
      <c r="N49" s="97"/>
      <c r="O49" s="97"/>
      <c r="P49" s="97"/>
      <c r="Q49" s="97"/>
      <c r="R49" s="97"/>
      <c r="S49" s="97"/>
      <c r="T49" s="97"/>
      <c r="U49" s="98"/>
    </row>
    <row r="50" spans="2:21" ht="119.25" customHeight="1" x14ac:dyDescent="0.2">
      <c r="B50" s="96" t="s">
        <v>853</v>
      </c>
      <c r="C50" s="97"/>
      <c r="D50" s="97"/>
      <c r="E50" s="97"/>
      <c r="F50" s="97"/>
      <c r="G50" s="97"/>
      <c r="H50" s="97"/>
      <c r="I50" s="97"/>
      <c r="J50" s="97"/>
      <c r="K50" s="97"/>
      <c r="L50" s="97"/>
      <c r="M50" s="97"/>
      <c r="N50" s="97"/>
      <c r="O50" s="97"/>
      <c r="P50" s="97"/>
      <c r="Q50" s="97"/>
      <c r="R50" s="97"/>
      <c r="S50" s="97"/>
      <c r="T50" s="97"/>
      <c r="U50" s="98"/>
    </row>
    <row r="51" spans="2:21" ht="120.75" customHeight="1" thickBot="1" x14ac:dyDescent="0.25">
      <c r="B51" s="99" t="s">
        <v>854</v>
      </c>
      <c r="C51" s="100"/>
      <c r="D51" s="100"/>
      <c r="E51" s="100"/>
      <c r="F51" s="100"/>
      <c r="G51" s="100"/>
      <c r="H51" s="100"/>
      <c r="I51" s="100"/>
      <c r="J51" s="100"/>
      <c r="K51" s="100"/>
      <c r="L51" s="100"/>
      <c r="M51" s="100"/>
      <c r="N51" s="100"/>
      <c r="O51" s="100"/>
      <c r="P51" s="100"/>
      <c r="Q51" s="100"/>
      <c r="R51" s="100"/>
      <c r="S51" s="100"/>
      <c r="T51" s="100"/>
      <c r="U51" s="101"/>
    </row>
  </sheetData>
  <mergeCells count="92">
    <mergeCell ref="B50:U50"/>
    <mergeCell ref="B51:U51"/>
    <mergeCell ref="B44:U44"/>
    <mergeCell ref="B45:U45"/>
    <mergeCell ref="B46:U46"/>
    <mergeCell ref="B47:U47"/>
    <mergeCell ref="B48:U48"/>
    <mergeCell ref="B49:U49"/>
    <mergeCell ref="B43:U43"/>
    <mergeCell ref="B31:D31"/>
    <mergeCell ref="B32:D32"/>
    <mergeCell ref="B34:U34"/>
    <mergeCell ref="B35:U35"/>
    <mergeCell ref="B36:U36"/>
    <mergeCell ref="B37:U37"/>
    <mergeCell ref="B38:U38"/>
    <mergeCell ref="B39:U39"/>
    <mergeCell ref="B40:U40"/>
    <mergeCell ref="B41:U41"/>
    <mergeCell ref="B42:U42"/>
    <mergeCell ref="C26:H26"/>
    <mergeCell ref="I26:K26"/>
    <mergeCell ref="L26:O26"/>
    <mergeCell ref="C27:H27"/>
    <mergeCell ref="I27:K27"/>
    <mergeCell ref="L27:O27"/>
    <mergeCell ref="C24:H24"/>
    <mergeCell ref="I24:K24"/>
    <mergeCell ref="L24:O24"/>
    <mergeCell ref="C25:H25"/>
    <mergeCell ref="I25:K25"/>
    <mergeCell ref="L25:O25"/>
    <mergeCell ref="C22:H22"/>
    <mergeCell ref="I22:K22"/>
    <mergeCell ref="L22:O22"/>
    <mergeCell ref="C23:H23"/>
    <mergeCell ref="I23:K23"/>
    <mergeCell ref="L23:O23"/>
    <mergeCell ref="C20:H20"/>
    <mergeCell ref="I20:K20"/>
    <mergeCell ref="L20:O20"/>
    <mergeCell ref="C21:H21"/>
    <mergeCell ref="I21:K21"/>
    <mergeCell ref="L21:O21"/>
    <mergeCell ref="C18:H18"/>
    <mergeCell ref="I18:K18"/>
    <mergeCell ref="L18:O18"/>
    <mergeCell ref="C19:H19"/>
    <mergeCell ref="I19:K19"/>
    <mergeCell ref="L19:O19"/>
    <mergeCell ref="C16:H16"/>
    <mergeCell ref="I16:K16"/>
    <mergeCell ref="L16:O16"/>
    <mergeCell ref="C17:H17"/>
    <mergeCell ref="I17:K17"/>
    <mergeCell ref="L17:O17"/>
    <mergeCell ref="C14:H14"/>
    <mergeCell ref="I14:K14"/>
    <mergeCell ref="L14:O14"/>
    <mergeCell ref="C15:H15"/>
    <mergeCell ref="I15:K15"/>
    <mergeCell ref="L15:O15"/>
    <mergeCell ref="C12:H12"/>
    <mergeCell ref="I12:K12"/>
    <mergeCell ref="L12:O12"/>
    <mergeCell ref="C13:H13"/>
    <mergeCell ref="I13:K13"/>
    <mergeCell ref="L13:O13"/>
    <mergeCell ref="C11:H11"/>
    <mergeCell ref="I11:K11"/>
    <mergeCell ref="L11:O11"/>
    <mergeCell ref="C6:G6"/>
    <mergeCell ref="K6:M6"/>
    <mergeCell ref="P6:Q6"/>
    <mergeCell ref="T6:U6"/>
    <mergeCell ref="B8:B10"/>
    <mergeCell ref="C8:H10"/>
    <mergeCell ref="I8:S8"/>
    <mergeCell ref="T8:U8"/>
    <mergeCell ref="I9:K10"/>
    <mergeCell ref="L9:O10"/>
    <mergeCell ref="P9:P10"/>
    <mergeCell ref="Q9:Q10"/>
    <mergeCell ref="R9:S9"/>
    <mergeCell ref="T9:T10"/>
    <mergeCell ref="U9:U10"/>
    <mergeCell ref="B5:U5"/>
    <mergeCell ref="B1:L1"/>
    <mergeCell ref="D4:H4"/>
    <mergeCell ref="L4:O4"/>
    <mergeCell ref="Q4:R4"/>
    <mergeCell ref="T4:U4"/>
  </mergeCells>
  <printOptions horizontalCentered="1"/>
  <pageMargins left="0.78740157480314965" right="0.78740157480314965" top="0.98425196850393704" bottom="0.98425196850393704" header="0" footer="0.39370078740157483"/>
  <pageSetup scale="60" fitToHeight="10" orientation="landscape" r:id="rId1"/>
  <headerFooter>
    <oddFooter>&amp;R&amp;P de &amp;N</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41"/>
  <sheetViews>
    <sheetView view="pageBreakPreview" topLeftCell="A7" zoomScale="80" zoomScaleNormal="80" zoomScaleSheetLayoutView="80" workbookViewId="0">
      <selection activeCell="R14" sqref="R14"/>
    </sheetView>
  </sheetViews>
  <sheetFormatPr baseColWidth="10" defaultColWidth="10" defaultRowHeight="12.75" x14ac:dyDescent="0.2"/>
  <cols>
    <col min="1" max="1" width="3.5" style="1" customWidth="1"/>
    <col min="2" max="2" width="14.7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9.625" style="1" customWidth="1"/>
    <col min="19" max="19" width="13" style="1" customWidth="1"/>
    <col min="20" max="20" width="10.75" style="1" customWidth="1"/>
    <col min="21" max="21" width="11.37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50" t="s">
        <v>0</v>
      </c>
      <c r="C1" s="50"/>
      <c r="D1" s="50"/>
      <c r="E1" s="50"/>
      <c r="F1" s="50"/>
      <c r="G1" s="50"/>
      <c r="H1" s="50"/>
      <c r="I1" s="50"/>
      <c r="J1" s="50"/>
      <c r="K1" s="50"/>
      <c r="L1" s="50"/>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51.75" customHeight="1" thickTop="1" x14ac:dyDescent="0.2">
      <c r="B4" s="8" t="s">
        <v>6</v>
      </c>
      <c r="C4" s="9" t="s">
        <v>855</v>
      </c>
      <c r="D4" s="57" t="s">
        <v>856</v>
      </c>
      <c r="E4" s="57"/>
      <c r="F4" s="57"/>
      <c r="G4" s="57"/>
      <c r="H4" s="57"/>
      <c r="I4" s="10"/>
      <c r="J4" s="11" t="s">
        <v>9</v>
      </c>
      <c r="K4" s="12" t="s">
        <v>10</v>
      </c>
      <c r="L4" s="58" t="s">
        <v>11</v>
      </c>
      <c r="M4" s="58"/>
      <c r="N4" s="58"/>
      <c r="O4" s="58"/>
      <c r="P4" s="11" t="s">
        <v>12</v>
      </c>
      <c r="Q4" s="58" t="s">
        <v>857</v>
      </c>
      <c r="R4" s="58"/>
      <c r="S4" s="11" t="s">
        <v>14</v>
      </c>
      <c r="T4" s="58"/>
      <c r="U4" s="59"/>
    </row>
    <row r="5" spans="1:21" ht="15.75" customHeight="1" x14ac:dyDescent="0.2">
      <c r="B5" s="54" t="s">
        <v>15</v>
      </c>
      <c r="C5" s="55"/>
      <c r="D5" s="55"/>
      <c r="E5" s="55"/>
      <c r="F5" s="55"/>
      <c r="G5" s="55"/>
      <c r="H5" s="55"/>
      <c r="I5" s="55"/>
      <c r="J5" s="55"/>
      <c r="K5" s="55"/>
      <c r="L5" s="55"/>
      <c r="M5" s="55"/>
      <c r="N5" s="55"/>
      <c r="O5" s="55"/>
      <c r="P5" s="55"/>
      <c r="Q5" s="55"/>
      <c r="R5" s="55"/>
      <c r="S5" s="55"/>
      <c r="T5" s="55"/>
      <c r="U5" s="56"/>
    </row>
    <row r="6" spans="1:21" ht="37.5" customHeight="1" thickBot="1" x14ac:dyDescent="0.25">
      <c r="B6" s="13" t="s">
        <v>16</v>
      </c>
      <c r="C6" s="60" t="s">
        <v>17</v>
      </c>
      <c r="D6" s="60"/>
      <c r="E6" s="60"/>
      <c r="F6" s="60"/>
      <c r="G6" s="60"/>
      <c r="H6" s="14"/>
      <c r="I6" s="14"/>
      <c r="J6" s="14" t="s">
        <v>18</v>
      </c>
      <c r="K6" s="60" t="s">
        <v>19</v>
      </c>
      <c r="L6" s="60"/>
      <c r="M6" s="60"/>
      <c r="N6" s="15"/>
      <c r="O6" s="16" t="s">
        <v>20</v>
      </c>
      <c r="P6" s="60" t="s">
        <v>324</v>
      </c>
      <c r="Q6" s="60"/>
      <c r="R6" s="17"/>
      <c r="S6" s="16" t="s">
        <v>22</v>
      </c>
      <c r="T6" s="60" t="s">
        <v>613</v>
      </c>
      <c r="U6" s="61"/>
    </row>
    <row r="7" spans="1:21" ht="14.25" customHeight="1" thickTop="1" thickBot="1" x14ac:dyDescent="0.25">
      <c r="B7" s="4" t="s">
        <v>24</v>
      </c>
      <c r="C7" s="5"/>
      <c r="D7" s="5"/>
      <c r="E7" s="5"/>
      <c r="F7" s="5"/>
      <c r="G7" s="5"/>
      <c r="H7" s="6"/>
      <c r="I7" s="6"/>
      <c r="J7" s="6"/>
      <c r="K7" s="6"/>
      <c r="L7" s="6"/>
      <c r="M7" s="6"/>
      <c r="N7" s="6"/>
      <c r="O7" s="6"/>
      <c r="P7" s="6"/>
      <c r="Q7" s="6"/>
      <c r="R7" s="6"/>
      <c r="S7" s="6"/>
      <c r="T7" s="6"/>
      <c r="U7" s="7"/>
    </row>
    <row r="8" spans="1:21" ht="16.5" customHeight="1" thickTop="1" x14ac:dyDescent="0.2">
      <c r="B8" s="62" t="s">
        <v>25</v>
      </c>
      <c r="C8" s="65" t="s">
        <v>26</v>
      </c>
      <c r="D8" s="66"/>
      <c r="E8" s="66"/>
      <c r="F8" s="66"/>
      <c r="G8" s="66"/>
      <c r="H8" s="67"/>
      <c r="I8" s="74" t="s">
        <v>27</v>
      </c>
      <c r="J8" s="75"/>
      <c r="K8" s="75"/>
      <c r="L8" s="75"/>
      <c r="M8" s="75"/>
      <c r="N8" s="75"/>
      <c r="O8" s="75"/>
      <c r="P8" s="75"/>
      <c r="Q8" s="75"/>
      <c r="R8" s="75"/>
      <c r="S8" s="76"/>
      <c r="T8" s="77" t="s">
        <v>28</v>
      </c>
      <c r="U8" s="78"/>
    </row>
    <row r="9" spans="1:21" ht="19.5" customHeight="1" x14ac:dyDescent="0.2">
      <c r="B9" s="63"/>
      <c r="C9" s="68"/>
      <c r="D9" s="69"/>
      <c r="E9" s="69"/>
      <c r="F9" s="69"/>
      <c r="G9" s="69"/>
      <c r="H9" s="70"/>
      <c r="I9" s="79" t="s">
        <v>29</v>
      </c>
      <c r="J9" s="80"/>
      <c r="K9" s="80"/>
      <c r="L9" s="80" t="s">
        <v>30</v>
      </c>
      <c r="M9" s="80"/>
      <c r="N9" s="80"/>
      <c r="O9" s="80"/>
      <c r="P9" s="80" t="s">
        <v>31</v>
      </c>
      <c r="Q9" s="80" t="s">
        <v>32</v>
      </c>
      <c r="R9" s="83" t="s">
        <v>33</v>
      </c>
      <c r="S9" s="84"/>
      <c r="T9" s="80" t="s">
        <v>34</v>
      </c>
      <c r="U9" s="85" t="s">
        <v>35</v>
      </c>
    </row>
    <row r="10" spans="1:21" ht="26.25" customHeight="1" thickBot="1" x14ac:dyDescent="0.25">
      <c r="B10" s="64"/>
      <c r="C10" s="71"/>
      <c r="D10" s="72"/>
      <c r="E10" s="72"/>
      <c r="F10" s="72"/>
      <c r="G10" s="72"/>
      <c r="H10" s="73"/>
      <c r="I10" s="81"/>
      <c r="J10" s="82"/>
      <c r="K10" s="82"/>
      <c r="L10" s="82"/>
      <c r="M10" s="82"/>
      <c r="N10" s="82"/>
      <c r="O10" s="82"/>
      <c r="P10" s="82"/>
      <c r="Q10" s="82"/>
      <c r="R10" s="19" t="s">
        <v>36</v>
      </c>
      <c r="S10" s="20" t="s">
        <v>37</v>
      </c>
      <c r="T10" s="82"/>
      <c r="U10" s="86"/>
    </row>
    <row r="11" spans="1:21" ht="110.25" customHeight="1" thickTop="1" x14ac:dyDescent="0.2">
      <c r="A11" s="21"/>
      <c r="B11" s="22" t="s">
        <v>38</v>
      </c>
      <c r="C11" s="87" t="s">
        <v>858</v>
      </c>
      <c r="D11" s="87"/>
      <c r="E11" s="87"/>
      <c r="F11" s="87"/>
      <c r="G11" s="87"/>
      <c r="H11" s="87"/>
      <c r="I11" s="87" t="s">
        <v>859</v>
      </c>
      <c r="J11" s="87"/>
      <c r="K11" s="87"/>
      <c r="L11" s="87" t="s">
        <v>860</v>
      </c>
      <c r="M11" s="87"/>
      <c r="N11" s="87"/>
      <c r="O11" s="87"/>
      <c r="P11" s="23" t="s">
        <v>198</v>
      </c>
      <c r="Q11" s="23" t="s">
        <v>43</v>
      </c>
      <c r="R11" s="23">
        <v>1</v>
      </c>
      <c r="S11" s="23">
        <v>1</v>
      </c>
      <c r="T11" s="23">
        <v>16.23</v>
      </c>
      <c r="U11" s="45">
        <f>82.94</f>
        <v>82.94</v>
      </c>
    </row>
    <row r="12" spans="1:21" ht="104.25" customHeight="1" thickBot="1" x14ac:dyDescent="0.25">
      <c r="A12" s="21"/>
      <c r="B12" s="24" t="s">
        <v>55</v>
      </c>
      <c r="C12" s="88" t="s">
        <v>55</v>
      </c>
      <c r="D12" s="88"/>
      <c r="E12" s="88"/>
      <c r="F12" s="88"/>
      <c r="G12" s="88"/>
      <c r="H12" s="88"/>
      <c r="I12" s="88" t="s">
        <v>861</v>
      </c>
      <c r="J12" s="88"/>
      <c r="K12" s="88"/>
      <c r="L12" s="88" t="s">
        <v>862</v>
      </c>
      <c r="M12" s="88"/>
      <c r="N12" s="88"/>
      <c r="O12" s="88"/>
      <c r="P12" s="25" t="s">
        <v>198</v>
      </c>
      <c r="Q12" s="25" t="s">
        <v>43</v>
      </c>
      <c r="R12" s="106">
        <v>1</v>
      </c>
      <c r="S12" s="106">
        <v>1</v>
      </c>
      <c r="T12" s="106">
        <v>3.73</v>
      </c>
      <c r="U12" s="107">
        <v>373</v>
      </c>
    </row>
    <row r="13" spans="1:21" ht="171.75" customHeight="1" thickTop="1" x14ac:dyDescent="0.2">
      <c r="A13" s="21"/>
      <c r="B13" s="22" t="s">
        <v>44</v>
      </c>
      <c r="C13" s="87" t="s">
        <v>863</v>
      </c>
      <c r="D13" s="87"/>
      <c r="E13" s="87"/>
      <c r="F13" s="87"/>
      <c r="G13" s="87"/>
      <c r="H13" s="87"/>
      <c r="I13" s="87" t="s">
        <v>864</v>
      </c>
      <c r="J13" s="87"/>
      <c r="K13" s="87"/>
      <c r="L13" s="87" t="s">
        <v>865</v>
      </c>
      <c r="M13" s="87"/>
      <c r="N13" s="87"/>
      <c r="O13" s="87"/>
      <c r="P13" s="23" t="s">
        <v>198</v>
      </c>
      <c r="Q13" s="23" t="s">
        <v>43</v>
      </c>
      <c r="R13" s="23" t="s">
        <v>177</v>
      </c>
      <c r="S13" s="23" t="s">
        <v>177</v>
      </c>
      <c r="T13" s="23">
        <v>198.24</v>
      </c>
      <c r="U13" s="45">
        <f>198.24</f>
        <v>198.24</v>
      </c>
    </row>
    <row r="14" spans="1:21" ht="171.75" customHeight="1" thickBot="1" x14ac:dyDescent="0.25">
      <c r="A14" s="21"/>
      <c r="B14" s="24" t="s">
        <v>55</v>
      </c>
      <c r="C14" s="88" t="s">
        <v>55</v>
      </c>
      <c r="D14" s="88"/>
      <c r="E14" s="88"/>
      <c r="F14" s="88"/>
      <c r="G14" s="88"/>
      <c r="H14" s="88"/>
      <c r="I14" s="88" t="s">
        <v>866</v>
      </c>
      <c r="J14" s="88"/>
      <c r="K14" s="88"/>
      <c r="L14" s="88" t="s">
        <v>867</v>
      </c>
      <c r="M14" s="88"/>
      <c r="N14" s="88"/>
      <c r="O14" s="88"/>
      <c r="P14" s="25" t="s">
        <v>198</v>
      </c>
      <c r="Q14" s="25" t="s">
        <v>43</v>
      </c>
      <c r="R14" s="25">
        <v>1</v>
      </c>
      <c r="S14" s="25">
        <v>1</v>
      </c>
      <c r="T14" s="25">
        <v>82.25</v>
      </c>
      <c r="U14" s="46">
        <f>82.25</f>
        <v>82.25</v>
      </c>
    </row>
    <row r="15" spans="1:21" ht="198" customHeight="1" thickTop="1" x14ac:dyDescent="0.2">
      <c r="A15" s="21"/>
      <c r="B15" s="22" t="s">
        <v>50</v>
      </c>
      <c r="C15" s="87" t="s">
        <v>868</v>
      </c>
      <c r="D15" s="87"/>
      <c r="E15" s="87"/>
      <c r="F15" s="87"/>
      <c r="G15" s="87"/>
      <c r="H15" s="87"/>
      <c r="I15" s="87" t="s">
        <v>869</v>
      </c>
      <c r="J15" s="87"/>
      <c r="K15" s="87"/>
      <c r="L15" s="87" t="s">
        <v>870</v>
      </c>
      <c r="M15" s="87"/>
      <c r="N15" s="87"/>
      <c r="O15" s="87"/>
      <c r="P15" s="23" t="s">
        <v>48</v>
      </c>
      <c r="Q15" s="23" t="s">
        <v>71</v>
      </c>
      <c r="R15" s="23">
        <v>80</v>
      </c>
      <c r="S15" s="23">
        <v>80</v>
      </c>
      <c r="T15" s="23">
        <v>0</v>
      </c>
      <c r="U15" s="45">
        <f>0</f>
        <v>0</v>
      </c>
    </row>
    <row r="16" spans="1:21" ht="75" customHeight="1" x14ac:dyDescent="0.2">
      <c r="A16" s="21"/>
      <c r="B16" s="24" t="s">
        <v>55</v>
      </c>
      <c r="C16" s="88" t="s">
        <v>871</v>
      </c>
      <c r="D16" s="88"/>
      <c r="E16" s="88"/>
      <c r="F16" s="88"/>
      <c r="G16" s="88"/>
      <c r="H16" s="88"/>
      <c r="I16" s="88" t="s">
        <v>872</v>
      </c>
      <c r="J16" s="88"/>
      <c r="K16" s="88"/>
      <c r="L16" s="88" t="s">
        <v>873</v>
      </c>
      <c r="M16" s="88"/>
      <c r="N16" s="88"/>
      <c r="O16" s="88"/>
      <c r="P16" s="25" t="s">
        <v>198</v>
      </c>
      <c r="Q16" s="25" t="s">
        <v>71</v>
      </c>
      <c r="R16" s="25">
        <v>1</v>
      </c>
      <c r="S16" s="25">
        <v>1</v>
      </c>
      <c r="T16" s="25">
        <v>2</v>
      </c>
      <c r="U16" s="46">
        <f>200</f>
        <v>200</v>
      </c>
    </row>
    <row r="17" spans="1:22" ht="318.75" customHeight="1" x14ac:dyDescent="0.2">
      <c r="A17" s="21"/>
      <c r="B17" s="24" t="s">
        <v>55</v>
      </c>
      <c r="C17" s="88" t="s">
        <v>874</v>
      </c>
      <c r="D17" s="88"/>
      <c r="E17" s="88"/>
      <c r="F17" s="88"/>
      <c r="G17" s="88"/>
      <c r="H17" s="88"/>
      <c r="I17" s="88" t="s">
        <v>875</v>
      </c>
      <c r="J17" s="88"/>
      <c r="K17" s="88"/>
      <c r="L17" s="88" t="s">
        <v>876</v>
      </c>
      <c r="M17" s="88"/>
      <c r="N17" s="88"/>
      <c r="O17" s="88"/>
      <c r="P17" s="25" t="s">
        <v>48</v>
      </c>
      <c r="Q17" s="25" t="s">
        <v>71</v>
      </c>
      <c r="R17" s="25">
        <v>80</v>
      </c>
      <c r="S17" s="25">
        <v>80</v>
      </c>
      <c r="T17" s="25">
        <v>0</v>
      </c>
      <c r="U17" s="46">
        <f>0</f>
        <v>0</v>
      </c>
    </row>
    <row r="18" spans="1:22" ht="75" customHeight="1" thickBot="1" x14ac:dyDescent="0.25">
      <c r="A18" s="21"/>
      <c r="B18" s="24" t="s">
        <v>55</v>
      </c>
      <c r="C18" s="88" t="s">
        <v>877</v>
      </c>
      <c r="D18" s="88"/>
      <c r="E18" s="88"/>
      <c r="F18" s="88"/>
      <c r="G18" s="88"/>
      <c r="H18" s="88"/>
      <c r="I18" s="88" t="s">
        <v>878</v>
      </c>
      <c r="J18" s="88"/>
      <c r="K18" s="88"/>
      <c r="L18" s="88" t="s">
        <v>879</v>
      </c>
      <c r="M18" s="88"/>
      <c r="N18" s="88"/>
      <c r="O18" s="88"/>
      <c r="P18" s="25" t="s">
        <v>48</v>
      </c>
      <c r="Q18" s="25" t="s">
        <v>71</v>
      </c>
      <c r="R18" s="25">
        <v>60</v>
      </c>
      <c r="S18" s="25">
        <v>60</v>
      </c>
      <c r="T18" s="25">
        <v>70.989999999999995</v>
      </c>
      <c r="U18" s="46">
        <f>118.31</f>
        <v>118.31</v>
      </c>
    </row>
    <row r="19" spans="1:22" ht="357" customHeight="1" thickTop="1" x14ac:dyDescent="0.2">
      <c r="A19" s="21"/>
      <c r="B19" s="22" t="s">
        <v>61</v>
      </c>
      <c r="C19" s="87" t="s">
        <v>880</v>
      </c>
      <c r="D19" s="87"/>
      <c r="E19" s="87"/>
      <c r="F19" s="87"/>
      <c r="G19" s="87"/>
      <c r="H19" s="87"/>
      <c r="I19" s="87" t="s">
        <v>881</v>
      </c>
      <c r="J19" s="87"/>
      <c r="K19" s="87"/>
      <c r="L19" s="87" t="s">
        <v>882</v>
      </c>
      <c r="M19" s="87"/>
      <c r="N19" s="87"/>
      <c r="O19" s="87"/>
      <c r="P19" s="23" t="s">
        <v>48</v>
      </c>
      <c r="Q19" s="23" t="s">
        <v>71</v>
      </c>
      <c r="R19" s="23">
        <v>80</v>
      </c>
      <c r="S19" s="23">
        <v>80</v>
      </c>
      <c r="T19" s="23">
        <v>66.52</v>
      </c>
      <c r="U19" s="45">
        <f>83.15</f>
        <v>83.15</v>
      </c>
    </row>
    <row r="20" spans="1:22" ht="66.75" customHeight="1" x14ac:dyDescent="0.2">
      <c r="A20" s="21"/>
      <c r="B20" s="24" t="s">
        <v>55</v>
      </c>
      <c r="C20" s="88" t="s">
        <v>883</v>
      </c>
      <c r="D20" s="88"/>
      <c r="E20" s="88"/>
      <c r="F20" s="88"/>
      <c r="G20" s="88"/>
      <c r="H20" s="88"/>
      <c r="I20" s="88" t="s">
        <v>884</v>
      </c>
      <c r="J20" s="88"/>
      <c r="K20" s="88"/>
      <c r="L20" s="88" t="s">
        <v>885</v>
      </c>
      <c r="M20" s="88"/>
      <c r="N20" s="88"/>
      <c r="O20" s="88"/>
      <c r="P20" s="25" t="s">
        <v>48</v>
      </c>
      <c r="Q20" s="25" t="s">
        <v>71</v>
      </c>
      <c r="R20" s="25">
        <v>60</v>
      </c>
      <c r="S20" s="25">
        <v>60</v>
      </c>
      <c r="T20" s="25">
        <v>73.69</v>
      </c>
      <c r="U20" s="46">
        <f>122.81</f>
        <v>122.81</v>
      </c>
    </row>
    <row r="21" spans="1:22" ht="333.75" customHeight="1" x14ac:dyDescent="0.2">
      <c r="A21" s="21"/>
      <c r="B21" s="24" t="s">
        <v>55</v>
      </c>
      <c r="C21" s="88" t="s">
        <v>886</v>
      </c>
      <c r="D21" s="88"/>
      <c r="E21" s="88"/>
      <c r="F21" s="88"/>
      <c r="G21" s="88"/>
      <c r="H21" s="88"/>
      <c r="I21" s="88" t="s">
        <v>887</v>
      </c>
      <c r="J21" s="88"/>
      <c r="K21" s="88"/>
      <c r="L21" s="88" t="s">
        <v>888</v>
      </c>
      <c r="M21" s="88"/>
      <c r="N21" s="88"/>
      <c r="O21" s="88"/>
      <c r="P21" s="25" t="s">
        <v>48</v>
      </c>
      <c r="Q21" s="25" t="s">
        <v>71</v>
      </c>
      <c r="R21" s="25">
        <v>80</v>
      </c>
      <c r="S21" s="25">
        <v>80</v>
      </c>
      <c r="T21" s="25">
        <v>155.27000000000001</v>
      </c>
      <c r="U21" s="46">
        <f>194.08</f>
        <v>194.08</v>
      </c>
    </row>
    <row r="22" spans="1:22" ht="126" customHeight="1" thickBot="1" x14ac:dyDescent="0.25">
      <c r="A22" s="21"/>
      <c r="B22" s="24" t="s">
        <v>55</v>
      </c>
      <c r="C22" s="88" t="s">
        <v>889</v>
      </c>
      <c r="D22" s="88"/>
      <c r="E22" s="88"/>
      <c r="F22" s="88"/>
      <c r="G22" s="88"/>
      <c r="H22" s="88"/>
      <c r="I22" s="88" t="s">
        <v>890</v>
      </c>
      <c r="J22" s="88"/>
      <c r="K22" s="88"/>
      <c r="L22" s="88" t="s">
        <v>891</v>
      </c>
      <c r="M22" s="88"/>
      <c r="N22" s="88"/>
      <c r="O22" s="88"/>
      <c r="P22" s="25" t="s">
        <v>48</v>
      </c>
      <c r="Q22" s="25" t="s">
        <v>71</v>
      </c>
      <c r="R22" s="25">
        <v>60</v>
      </c>
      <c r="S22" s="25">
        <v>60</v>
      </c>
      <c r="T22" s="25">
        <v>85.67</v>
      </c>
      <c r="U22" s="46">
        <f>142.78</f>
        <v>142.78</v>
      </c>
    </row>
    <row r="23" spans="1:22" ht="14.25" customHeight="1" thickTop="1" thickBot="1" x14ac:dyDescent="0.25">
      <c r="B23" s="4" t="s">
        <v>80</v>
      </c>
      <c r="C23" s="5"/>
      <c r="D23" s="5"/>
      <c r="E23" s="5"/>
      <c r="F23" s="5"/>
      <c r="G23" s="5"/>
      <c r="H23" s="6"/>
      <c r="I23" s="6"/>
      <c r="J23" s="6"/>
      <c r="K23" s="6"/>
      <c r="L23" s="6"/>
      <c r="M23" s="6"/>
      <c r="N23" s="6"/>
      <c r="O23" s="6"/>
      <c r="P23" s="6"/>
      <c r="Q23" s="6"/>
      <c r="R23" s="6"/>
      <c r="S23" s="6"/>
      <c r="T23" s="6"/>
      <c r="U23" s="7"/>
      <c r="V23" s="26"/>
    </row>
    <row r="24" spans="1:22" ht="26.25" customHeight="1" thickTop="1" x14ac:dyDescent="0.2">
      <c r="B24" s="27"/>
      <c r="C24" s="28"/>
      <c r="D24" s="28"/>
      <c r="E24" s="28"/>
      <c r="F24" s="28"/>
      <c r="G24" s="28"/>
      <c r="H24" s="29"/>
      <c r="I24" s="29"/>
      <c r="J24" s="29"/>
      <c r="K24" s="29"/>
      <c r="L24" s="29"/>
      <c r="M24" s="29"/>
      <c r="N24" s="29"/>
      <c r="O24" s="29"/>
      <c r="P24" s="29"/>
      <c r="Q24" s="29"/>
      <c r="R24" s="30"/>
      <c r="S24" s="31" t="s">
        <v>33</v>
      </c>
      <c r="T24" s="31" t="s">
        <v>81</v>
      </c>
      <c r="U24" s="18" t="s">
        <v>82</v>
      </c>
    </row>
    <row r="25" spans="1:22" ht="26.25" customHeight="1" thickBot="1" x14ac:dyDescent="0.25">
      <c r="B25" s="32"/>
      <c r="C25" s="33"/>
      <c r="D25" s="33"/>
      <c r="E25" s="33"/>
      <c r="F25" s="33"/>
      <c r="G25" s="33"/>
      <c r="H25" s="34"/>
      <c r="I25" s="34"/>
      <c r="J25" s="34"/>
      <c r="K25" s="34"/>
      <c r="L25" s="34"/>
      <c r="M25" s="34"/>
      <c r="N25" s="34"/>
      <c r="O25" s="34"/>
      <c r="P25" s="34"/>
      <c r="Q25" s="34"/>
      <c r="R25" s="34"/>
      <c r="S25" s="35" t="s">
        <v>83</v>
      </c>
      <c r="T25" s="36" t="s">
        <v>83</v>
      </c>
      <c r="U25" s="36" t="s">
        <v>84</v>
      </c>
    </row>
    <row r="26" spans="1:22" ht="13.5" customHeight="1" thickBot="1" x14ac:dyDescent="0.25">
      <c r="B26" s="92" t="s">
        <v>85</v>
      </c>
      <c r="C26" s="93"/>
      <c r="D26" s="93"/>
      <c r="E26" s="37"/>
      <c r="F26" s="37"/>
      <c r="G26" s="37"/>
      <c r="H26" s="38"/>
      <c r="I26" s="38"/>
      <c r="J26" s="38"/>
      <c r="K26" s="38"/>
      <c r="L26" s="38"/>
      <c r="M26" s="38"/>
      <c r="N26" s="38"/>
      <c r="O26" s="38"/>
      <c r="P26" s="39"/>
      <c r="Q26" s="39"/>
      <c r="R26" s="39"/>
      <c r="S26" s="48">
        <v>200.13375199999999</v>
      </c>
      <c r="T26" s="48">
        <v>171.94729128999998</v>
      </c>
      <c r="U26" s="49">
        <f>+IF(ISERR(T26/S26*100),"N/A",ROUND(T26/S26*100,1))</f>
        <v>85.9</v>
      </c>
    </row>
    <row r="27" spans="1:22" ht="13.5" customHeight="1" thickBot="1" x14ac:dyDescent="0.25">
      <c r="B27" s="94" t="s">
        <v>86</v>
      </c>
      <c r="C27" s="95"/>
      <c r="D27" s="95"/>
      <c r="E27" s="40"/>
      <c r="F27" s="40"/>
      <c r="G27" s="40"/>
      <c r="H27" s="41"/>
      <c r="I27" s="41"/>
      <c r="J27" s="41"/>
      <c r="K27" s="41"/>
      <c r="L27" s="41"/>
      <c r="M27" s="41"/>
      <c r="N27" s="41"/>
      <c r="O27" s="41"/>
      <c r="P27" s="42"/>
      <c r="Q27" s="42"/>
      <c r="R27" s="42"/>
      <c r="S27" s="48">
        <v>172.05606696999996</v>
      </c>
      <c r="T27" s="48">
        <v>171.94729128999998</v>
      </c>
      <c r="U27" s="49">
        <f>+IF(ISERR(T27/S27*100),"N/A",ROUND(T27/S27*100,1))</f>
        <v>99.9</v>
      </c>
    </row>
    <row r="28" spans="1:22" ht="14.85" customHeight="1" thickTop="1" thickBot="1" x14ac:dyDescent="0.25">
      <c r="B28" s="4" t="s">
        <v>87</v>
      </c>
      <c r="C28" s="5"/>
      <c r="D28" s="5"/>
      <c r="E28" s="5"/>
      <c r="F28" s="5"/>
      <c r="G28" s="5"/>
      <c r="H28" s="6"/>
      <c r="I28" s="6"/>
      <c r="J28" s="6"/>
      <c r="K28" s="6"/>
      <c r="L28" s="6"/>
      <c r="M28" s="6"/>
      <c r="N28" s="6"/>
      <c r="O28" s="6"/>
      <c r="P28" s="6"/>
      <c r="Q28" s="6"/>
      <c r="R28" s="6"/>
      <c r="S28" s="6"/>
      <c r="T28" s="6"/>
      <c r="U28" s="7"/>
    </row>
    <row r="29" spans="1:22" ht="44.25" customHeight="1" thickTop="1" x14ac:dyDescent="0.2">
      <c r="B29" s="89" t="s">
        <v>88</v>
      </c>
      <c r="C29" s="90"/>
      <c r="D29" s="90"/>
      <c r="E29" s="90"/>
      <c r="F29" s="90"/>
      <c r="G29" s="90"/>
      <c r="H29" s="90"/>
      <c r="I29" s="90"/>
      <c r="J29" s="90"/>
      <c r="K29" s="90"/>
      <c r="L29" s="90"/>
      <c r="M29" s="90"/>
      <c r="N29" s="90"/>
      <c r="O29" s="90"/>
      <c r="P29" s="90"/>
      <c r="Q29" s="90"/>
      <c r="R29" s="90"/>
      <c r="S29" s="90"/>
      <c r="T29" s="90"/>
      <c r="U29" s="91"/>
    </row>
    <row r="30" spans="1:22" ht="136.5" customHeight="1" x14ac:dyDescent="0.2">
      <c r="B30" s="96" t="s">
        <v>892</v>
      </c>
      <c r="C30" s="97"/>
      <c r="D30" s="97"/>
      <c r="E30" s="97"/>
      <c r="F30" s="97"/>
      <c r="G30" s="97"/>
      <c r="H30" s="97"/>
      <c r="I30" s="97"/>
      <c r="J30" s="97"/>
      <c r="K30" s="97"/>
      <c r="L30" s="97"/>
      <c r="M30" s="97"/>
      <c r="N30" s="97"/>
      <c r="O30" s="97"/>
      <c r="P30" s="97"/>
      <c r="Q30" s="97"/>
      <c r="R30" s="97"/>
      <c r="S30" s="97"/>
      <c r="T30" s="97"/>
      <c r="U30" s="98"/>
    </row>
    <row r="31" spans="1:22" ht="112.35" customHeight="1" x14ac:dyDescent="0.2">
      <c r="B31" s="96" t="s">
        <v>893</v>
      </c>
      <c r="C31" s="97"/>
      <c r="D31" s="97"/>
      <c r="E31" s="97"/>
      <c r="F31" s="97"/>
      <c r="G31" s="97"/>
      <c r="H31" s="97"/>
      <c r="I31" s="97"/>
      <c r="J31" s="97"/>
      <c r="K31" s="97"/>
      <c r="L31" s="97"/>
      <c r="M31" s="97"/>
      <c r="N31" s="97"/>
      <c r="O31" s="97"/>
      <c r="P31" s="97"/>
      <c r="Q31" s="97"/>
      <c r="R31" s="97"/>
      <c r="S31" s="97"/>
      <c r="T31" s="97"/>
      <c r="U31" s="98"/>
    </row>
    <row r="32" spans="1:22" ht="100.7" customHeight="1" x14ac:dyDescent="0.2">
      <c r="B32" s="96" t="s">
        <v>894</v>
      </c>
      <c r="C32" s="97"/>
      <c r="D32" s="97"/>
      <c r="E32" s="97"/>
      <c r="F32" s="97"/>
      <c r="G32" s="97"/>
      <c r="H32" s="97"/>
      <c r="I32" s="97"/>
      <c r="J32" s="97"/>
      <c r="K32" s="97"/>
      <c r="L32" s="97"/>
      <c r="M32" s="97"/>
      <c r="N32" s="97"/>
      <c r="O32" s="97"/>
      <c r="P32" s="97"/>
      <c r="Q32" s="97"/>
      <c r="R32" s="97"/>
      <c r="S32" s="97"/>
      <c r="T32" s="97"/>
      <c r="U32" s="98"/>
    </row>
    <row r="33" spans="2:21" ht="113.25" customHeight="1" x14ac:dyDescent="0.2">
      <c r="B33" s="96" t="s">
        <v>895</v>
      </c>
      <c r="C33" s="97"/>
      <c r="D33" s="97"/>
      <c r="E33" s="97"/>
      <c r="F33" s="97"/>
      <c r="G33" s="97"/>
      <c r="H33" s="97"/>
      <c r="I33" s="97"/>
      <c r="J33" s="97"/>
      <c r="K33" s="97"/>
      <c r="L33" s="97"/>
      <c r="M33" s="97"/>
      <c r="N33" s="97"/>
      <c r="O33" s="97"/>
      <c r="P33" s="97"/>
      <c r="Q33" s="97"/>
      <c r="R33" s="97"/>
      <c r="S33" s="97"/>
      <c r="T33" s="97"/>
      <c r="U33" s="98"/>
    </row>
    <row r="34" spans="2:21" ht="65.25" customHeight="1" x14ac:dyDescent="0.2">
      <c r="B34" s="96" t="s">
        <v>896</v>
      </c>
      <c r="C34" s="97"/>
      <c r="D34" s="97"/>
      <c r="E34" s="97"/>
      <c r="F34" s="97"/>
      <c r="G34" s="97"/>
      <c r="H34" s="97"/>
      <c r="I34" s="97"/>
      <c r="J34" s="97"/>
      <c r="K34" s="97"/>
      <c r="L34" s="97"/>
      <c r="M34" s="97"/>
      <c r="N34" s="97"/>
      <c r="O34" s="97"/>
      <c r="P34" s="97"/>
      <c r="Q34" s="97"/>
      <c r="R34" s="97"/>
      <c r="S34" s="97"/>
      <c r="T34" s="97"/>
      <c r="U34" s="98"/>
    </row>
    <row r="35" spans="2:21" ht="65.25" customHeight="1" x14ac:dyDescent="0.2">
      <c r="B35" s="96" t="s">
        <v>897</v>
      </c>
      <c r="C35" s="97"/>
      <c r="D35" s="97"/>
      <c r="E35" s="97"/>
      <c r="F35" s="97"/>
      <c r="G35" s="97"/>
      <c r="H35" s="97"/>
      <c r="I35" s="97"/>
      <c r="J35" s="97"/>
      <c r="K35" s="97"/>
      <c r="L35" s="97"/>
      <c r="M35" s="97"/>
      <c r="N35" s="97"/>
      <c r="O35" s="97"/>
      <c r="P35" s="97"/>
      <c r="Q35" s="97"/>
      <c r="R35" s="97"/>
      <c r="S35" s="97"/>
      <c r="T35" s="97"/>
      <c r="U35" s="98"/>
    </row>
    <row r="36" spans="2:21" ht="69.75" customHeight="1" x14ac:dyDescent="0.2">
      <c r="B36" s="96" t="s">
        <v>898</v>
      </c>
      <c r="C36" s="97"/>
      <c r="D36" s="97"/>
      <c r="E36" s="97"/>
      <c r="F36" s="97"/>
      <c r="G36" s="97"/>
      <c r="H36" s="97"/>
      <c r="I36" s="97"/>
      <c r="J36" s="97"/>
      <c r="K36" s="97"/>
      <c r="L36" s="97"/>
      <c r="M36" s="97"/>
      <c r="N36" s="97"/>
      <c r="O36" s="97"/>
      <c r="P36" s="97"/>
      <c r="Q36" s="97"/>
      <c r="R36" s="97"/>
      <c r="S36" s="97"/>
      <c r="T36" s="97"/>
      <c r="U36" s="98"/>
    </row>
    <row r="37" spans="2:21" ht="116.1" customHeight="1" x14ac:dyDescent="0.2">
      <c r="B37" s="96" t="s">
        <v>899</v>
      </c>
      <c r="C37" s="97"/>
      <c r="D37" s="97"/>
      <c r="E37" s="97"/>
      <c r="F37" s="97"/>
      <c r="G37" s="97"/>
      <c r="H37" s="97"/>
      <c r="I37" s="97"/>
      <c r="J37" s="97"/>
      <c r="K37" s="97"/>
      <c r="L37" s="97"/>
      <c r="M37" s="97"/>
      <c r="N37" s="97"/>
      <c r="O37" s="97"/>
      <c r="P37" s="97"/>
      <c r="Q37" s="97"/>
      <c r="R37" s="97"/>
      <c r="S37" s="97"/>
      <c r="T37" s="97"/>
      <c r="U37" s="98"/>
    </row>
    <row r="38" spans="2:21" ht="137.44999999999999" customHeight="1" x14ac:dyDescent="0.2">
      <c r="B38" s="96" t="s">
        <v>900</v>
      </c>
      <c r="C38" s="97"/>
      <c r="D38" s="97"/>
      <c r="E38" s="97"/>
      <c r="F38" s="97"/>
      <c r="G38" s="97"/>
      <c r="H38" s="97"/>
      <c r="I38" s="97"/>
      <c r="J38" s="97"/>
      <c r="K38" s="97"/>
      <c r="L38" s="97"/>
      <c r="M38" s="97"/>
      <c r="N38" s="97"/>
      <c r="O38" s="97"/>
      <c r="P38" s="97"/>
      <c r="Q38" s="97"/>
      <c r="R38" s="97"/>
      <c r="S38" s="97"/>
      <c r="T38" s="97"/>
      <c r="U38" s="98"/>
    </row>
    <row r="39" spans="2:21" ht="114.75" customHeight="1" x14ac:dyDescent="0.2">
      <c r="B39" s="96" t="s">
        <v>901</v>
      </c>
      <c r="C39" s="97"/>
      <c r="D39" s="97"/>
      <c r="E39" s="97"/>
      <c r="F39" s="97"/>
      <c r="G39" s="97"/>
      <c r="H39" s="97"/>
      <c r="I39" s="97"/>
      <c r="J39" s="97"/>
      <c r="K39" s="97"/>
      <c r="L39" s="97"/>
      <c r="M39" s="97"/>
      <c r="N39" s="97"/>
      <c r="O39" s="97"/>
      <c r="P39" s="97"/>
      <c r="Q39" s="97"/>
      <c r="R39" s="97"/>
      <c r="S39" s="97"/>
      <c r="T39" s="97"/>
      <c r="U39" s="98"/>
    </row>
    <row r="40" spans="2:21" ht="92.25" customHeight="1" x14ac:dyDescent="0.2">
      <c r="B40" s="96" t="s">
        <v>902</v>
      </c>
      <c r="C40" s="97"/>
      <c r="D40" s="97"/>
      <c r="E40" s="97"/>
      <c r="F40" s="97"/>
      <c r="G40" s="97"/>
      <c r="H40" s="97"/>
      <c r="I40" s="97"/>
      <c r="J40" s="97"/>
      <c r="K40" s="97"/>
      <c r="L40" s="97"/>
      <c r="M40" s="97"/>
      <c r="N40" s="97"/>
      <c r="O40" s="97"/>
      <c r="P40" s="97"/>
      <c r="Q40" s="97"/>
      <c r="R40" s="97"/>
      <c r="S40" s="97"/>
      <c r="T40" s="97"/>
      <c r="U40" s="98"/>
    </row>
    <row r="41" spans="2:21" ht="92.85" customHeight="1" thickBot="1" x14ac:dyDescent="0.25">
      <c r="B41" s="99" t="s">
        <v>903</v>
      </c>
      <c r="C41" s="100"/>
      <c r="D41" s="100"/>
      <c r="E41" s="100"/>
      <c r="F41" s="100"/>
      <c r="G41" s="100"/>
      <c r="H41" s="100"/>
      <c r="I41" s="100"/>
      <c r="J41" s="100"/>
      <c r="K41" s="100"/>
      <c r="L41" s="100"/>
      <c r="M41" s="100"/>
      <c r="N41" s="100"/>
      <c r="O41" s="100"/>
      <c r="P41" s="100"/>
      <c r="Q41" s="100"/>
      <c r="R41" s="100"/>
      <c r="S41" s="100"/>
      <c r="T41" s="100"/>
      <c r="U41" s="101"/>
    </row>
  </sheetData>
  <mergeCells count="72">
    <mergeCell ref="B41:U41"/>
    <mergeCell ref="B30:U30"/>
    <mergeCell ref="B31:U31"/>
    <mergeCell ref="B32:U32"/>
    <mergeCell ref="B33:U33"/>
    <mergeCell ref="B34:U34"/>
    <mergeCell ref="B35:U35"/>
    <mergeCell ref="B36:U36"/>
    <mergeCell ref="B37:U37"/>
    <mergeCell ref="B38:U38"/>
    <mergeCell ref="B39:U39"/>
    <mergeCell ref="B40:U40"/>
    <mergeCell ref="B29:U29"/>
    <mergeCell ref="C20:H20"/>
    <mergeCell ref="I20:K20"/>
    <mergeCell ref="L20:O20"/>
    <mergeCell ref="C21:H21"/>
    <mergeCell ref="I21:K21"/>
    <mergeCell ref="L21:O21"/>
    <mergeCell ref="C22:H22"/>
    <mergeCell ref="I22:K22"/>
    <mergeCell ref="L22:O22"/>
    <mergeCell ref="B26:D26"/>
    <mergeCell ref="B27:D27"/>
    <mergeCell ref="C18:H18"/>
    <mergeCell ref="I18:K18"/>
    <mergeCell ref="L18:O18"/>
    <mergeCell ref="C19:H19"/>
    <mergeCell ref="I19:K19"/>
    <mergeCell ref="L19:O19"/>
    <mergeCell ref="C16:H16"/>
    <mergeCell ref="I16:K16"/>
    <mergeCell ref="L16:O16"/>
    <mergeCell ref="C17:H17"/>
    <mergeCell ref="I17:K17"/>
    <mergeCell ref="L17:O17"/>
    <mergeCell ref="C14:H14"/>
    <mergeCell ref="I14:K14"/>
    <mergeCell ref="L14:O14"/>
    <mergeCell ref="C15:H15"/>
    <mergeCell ref="I15:K15"/>
    <mergeCell ref="L15:O15"/>
    <mergeCell ref="C12:H12"/>
    <mergeCell ref="I12:K12"/>
    <mergeCell ref="L12:O12"/>
    <mergeCell ref="C13:H13"/>
    <mergeCell ref="I13:K13"/>
    <mergeCell ref="L13:O13"/>
    <mergeCell ref="C11:H11"/>
    <mergeCell ref="I11:K11"/>
    <mergeCell ref="L11:O11"/>
    <mergeCell ref="C6:G6"/>
    <mergeCell ref="K6:M6"/>
    <mergeCell ref="P6:Q6"/>
    <mergeCell ref="T6:U6"/>
    <mergeCell ref="B8:B10"/>
    <mergeCell ref="C8:H10"/>
    <mergeCell ref="I8:S8"/>
    <mergeCell ref="T8:U8"/>
    <mergeCell ref="I9:K10"/>
    <mergeCell ref="L9:O10"/>
    <mergeCell ref="P9:P10"/>
    <mergeCell ref="Q9:Q10"/>
    <mergeCell ref="R9:S9"/>
    <mergeCell ref="T9:T10"/>
    <mergeCell ref="U9:U10"/>
    <mergeCell ref="B5:U5"/>
    <mergeCell ref="B1:L1"/>
    <mergeCell ref="D4:H4"/>
    <mergeCell ref="L4:O4"/>
    <mergeCell ref="Q4:R4"/>
    <mergeCell ref="T4:U4"/>
  </mergeCells>
  <printOptions horizontalCentered="1"/>
  <pageMargins left="0.78740157480314965" right="0.78740157480314965" top="0.98425196850393704" bottom="0.98425196850393704" header="0" footer="0.39370078740157483"/>
  <pageSetup scale="60" fitToHeight="10" orientation="landscape" r:id="rId1"/>
  <headerFooter>
    <oddFooter>&amp;R&amp;P de &amp;N</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35"/>
  <sheetViews>
    <sheetView view="pageBreakPreview" topLeftCell="A7" zoomScale="80" zoomScaleNormal="80" zoomScaleSheetLayoutView="80" workbookViewId="0">
      <selection activeCell="R11" sqref="R11:U11"/>
    </sheetView>
  </sheetViews>
  <sheetFormatPr baseColWidth="10" defaultColWidth="10" defaultRowHeight="12.75" x14ac:dyDescent="0.2"/>
  <cols>
    <col min="1" max="1" width="3.5" style="1" customWidth="1"/>
    <col min="2" max="2" width="14.7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9.625" style="1" customWidth="1"/>
    <col min="19" max="19" width="13" style="1" customWidth="1"/>
    <col min="20" max="20" width="10.75" style="1" customWidth="1"/>
    <col min="21" max="21" width="11.37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50" t="s">
        <v>0</v>
      </c>
      <c r="C1" s="50"/>
      <c r="D1" s="50"/>
      <c r="E1" s="50"/>
      <c r="F1" s="50"/>
      <c r="G1" s="50"/>
      <c r="H1" s="50"/>
      <c r="I1" s="50"/>
      <c r="J1" s="50"/>
      <c r="K1" s="50"/>
      <c r="L1" s="50"/>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51.75" customHeight="1" thickTop="1" x14ac:dyDescent="0.2">
      <c r="B4" s="8" t="s">
        <v>6</v>
      </c>
      <c r="C4" s="9" t="s">
        <v>904</v>
      </c>
      <c r="D4" s="57" t="s">
        <v>905</v>
      </c>
      <c r="E4" s="57"/>
      <c r="F4" s="57"/>
      <c r="G4" s="57"/>
      <c r="H4" s="57"/>
      <c r="I4" s="10"/>
      <c r="J4" s="11" t="s">
        <v>9</v>
      </c>
      <c r="K4" s="12" t="s">
        <v>10</v>
      </c>
      <c r="L4" s="58" t="s">
        <v>11</v>
      </c>
      <c r="M4" s="58"/>
      <c r="N4" s="58"/>
      <c r="O4" s="58"/>
      <c r="P4" s="11" t="s">
        <v>12</v>
      </c>
      <c r="Q4" s="58" t="s">
        <v>660</v>
      </c>
      <c r="R4" s="58"/>
      <c r="S4" s="11" t="s">
        <v>14</v>
      </c>
      <c r="T4" s="58" t="s">
        <v>465</v>
      </c>
      <c r="U4" s="59"/>
    </row>
    <row r="5" spans="1:21" ht="15.75" customHeight="1" x14ac:dyDescent="0.2">
      <c r="B5" s="54" t="s">
        <v>15</v>
      </c>
      <c r="C5" s="55"/>
      <c r="D5" s="55"/>
      <c r="E5" s="55"/>
      <c r="F5" s="55"/>
      <c r="G5" s="55"/>
      <c r="H5" s="55"/>
      <c r="I5" s="55"/>
      <c r="J5" s="55"/>
      <c r="K5" s="55"/>
      <c r="L5" s="55"/>
      <c r="M5" s="55"/>
      <c r="N5" s="55"/>
      <c r="O5" s="55"/>
      <c r="P5" s="55"/>
      <c r="Q5" s="55"/>
      <c r="R5" s="55"/>
      <c r="S5" s="55"/>
      <c r="T5" s="55"/>
      <c r="U5" s="56"/>
    </row>
    <row r="6" spans="1:21" ht="37.5" customHeight="1" thickBot="1" x14ac:dyDescent="0.25">
      <c r="B6" s="13" t="s">
        <v>16</v>
      </c>
      <c r="C6" s="60" t="s">
        <v>17</v>
      </c>
      <c r="D6" s="60"/>
      <c r="E6" s="60"/>
      <c r="F6" s="60"/>
      <c r="G6" s="60"/>
      <c r="H6" s="14"/>
      <c r="I6" s="14"/>
      <c r="J6" s="14" t="s">
        <v>18</v>
      </c>
      <c r="K6" s="60" t="s">
        <v>19</v>
      </c>
      <c r="L6" s="60"/>
      <c r="M6" s="60"/>
      <c r="N6" s="15"/>
      <c r="O6" s="16" t="s">
        <v>20</v>
      </c>
      <c r="P6" s="60" t="s">
        <v>524</v>
      </c>
      <c r="Q6" s="60"/>
      <c r="R6" s="17"/>
      <c r="S6" s="16" t="s">
        <v>22</v>
      </c>
      <c r="T6" s="60" t="s">
        <v>586</v>
      </c>
      <c r="U6" s="61"/>
    </row>
    <row r="7" spans="1:21" ht="14.25" customHeight="1" thickTop="1" thickBot="1" x14ac:dyDescent="0.25">
      <c r="B7" s="4" t="s">
        <v>24</v>
      </c>
      <c r="C7" s="5"/>
      <c r="D7" s="5"/>
      <c r="E7" s="5"/>
      <c r="F7" s="5"/>
      <c r="G7" s="5"/>
      <c r="H7" s="6"/>
      <c r="I7" s="6"/>
      <c r="J7" s="6"/>
      <c r="K7" s="6"/>
      <c r="L7" s="6"/>
      <c r="M7" s="6"/>
      <c r="N7" s="6"/>
      <c r="O7" s="6"/>
      <c r="P7" s="6"/>
      <c r="Q7" s="6"/>
      <c r="R7" s="6"/>
      <c r="S7" s="6"/>
      <c r="T7" s="6"/>
      <c r="U7" s="7"/>
    </row>
    <row r="8" spans="1:21" ht="16.5" customHeight="1" thickTop="1" x14ac:dyDescent="0.2">
      <c r="B8" s="62" t="s">
        <v>25</v>
      </c>
      <c r="C8" s="65" t="s">
        <v>26</v>
      </c>
      <c r="D8" s="66"/>
      <c r="E8" s="66"/>
      <c r="F8" s="66"/>
      <c r="G8" s="66"/>
      <c r="H8" s="67"/>
      <c r="I8" s="74" t="s">
        <v>27</v>
      </c>
      <c r="J8" s="75"/>
      <c r="K8" s="75"/>
      <c r="L8" s="75"/>
      <c r="M8" s="75"/>
      <c r="N8" s="75"/>
      <c r="O8" s="75"/>
      <c r="P8" s="75"/>
      <c r="Q8" s="75"/>
      <c r="R8" s="75"/>
      <c r="S8" s="76"/>
      <c r="T8" s="77" t="s">
        <v>28</v>
      </c>
      <c r="U8" s="78"/>
    </row>
    <row r="9" spans="1:21" ht="19.5" customHeight="1" x14ac:dyDescent="0.2">
      <c r="B9" s="63"/>
      <c r="C9" s="68"/>
      <c r="D9" s="69"/>
      <c r="E9" s="69"/>
      <c r="F9" s="69"/>
      <c r="G9" s="69"/>
      <c r="H9" s="70"/>
      <c r="I9" s="79" t="s">
        <v>29</v>
      </c>
      <c r="J9" s="80"/>
      <c r="K9" s="80"/>
      <c r="L9" s="80" t="s">
        <v>30</v>
      </c>
      <c r="M9" s="80"/>
      <c r="N9" s="80"/>
      <c r="O9" s="80"/>
      <c r="P9" s="80" t="s">
        <v>31</v>
      </c>
      <c r="Q9" s="80" t="s">
        <v>32</v>
      </c>
      <c r="R9" s="83" t="s">
        <v>33</v>
      </c>
      <c r="S9" s="84"/>
      <c r="T9" s="80" t="s">
        <v>34</v>
      </c>
      <c r="U9" s="85" t="s">
        <v>35</v>
      </c>
    </row>
    <row r="10" spans="1:21" ht="26.25" customHeight="1" thickBot="1" x14ac:dyDescent="0.25">
      <c r="B10" s="64"/>
      <c r="C10" s="71"/>
      <c r="D10" s="72"/>
      <c r="E10" s="72"/>
      <c r="F10" s="72"/>
      <c r="G10" s="72"/>
      <c r="H10" s="73"/>
      <c r="I10" s="81"/>
      <c r="J10" s="82"/>
      <c r="K10" s="82"/>
      <c r="L10" s="82"/>
      <c r="M10" s="82"/>
      <c r="N10" s="82"/>
      <c r="O10" s="82"/>
      <c r="P10" s="82"/>
      <c r="Q10" s="82"/>
      <c r="R10" s="19" t="s">
        <v>36</v>
      </c>
      <c r="S10" s="20" t="s">
        <v>37</v>
      </c>
      <c r="T10" s="82"/>
      <c r="U10" s="86"/>
    </row>
    <row r="11" spans="1:21" ht="118.5" customHeight="1" thickTop="1" thickBot="1" x14ac:dyDescent="0.25">
      <c r="A11" s="21"/>
      <c r="B11" s="22" t="s">
        <v>38</v>
      </c>
      <c r="C11" s="87" t="s">
        <v>906</v>
      </c>
      <c r="D11" s="87"/>
      <c r="E11" s="87"/>
      <c r="F11" s="87"/>
      <c r="G11" s="87"/>
      <c r="H11" s="87"/>
      <c r="I11" s="87" t="s">
        <v>907</v>
      </c>
      <c r="J11" s="87"/>
      <c r="K11" s="87"/>
      <c r="L11" s="87" t="s">
        <v>908</v>
      </c>
      <c r="M11" s="87"/>
      <c r="N11" s="87"/>
      <c r="O11" s="87"/>
      <c r="P11" s="23" t="s">
        <v>48</v>
      </c>
      <c r="Q11" s="23" t="s">
        <v>160</v>
      </c>
      <c r="R11" s="23">
        <v>100</v>
      </c>
      <c r="S11" s="23">
        <v>100</v>
      </c>
      <c r="T11" s="23">
        <v>97.32</v>
      </c>
      <c r="U11" s="45">
        <f>97.32</f>
        <v>97.32</v>
      </c>
    </row>
    <row r="12" spans="1:21" ht="75" customHeight="1" thickTop="1" thickBot="1" x14ac:dyDescent="0.25">
      <c r="A12" s="21"/>
      <c r="B12" s="22" t="s">
        <v>44</v>
      </c>
      <c r="C12" s="87" t="s">
        <v>909</v>
      </c>
      <c r="D12" s="87"/>
      <c r="E12" s="87"/>
      <c r="F12" s="87"/>
      <c r="G12" s="87"/>
      <c r="H12" s="87"/>
      <c r="I12" s="87" t="s">
        <v>910</v>
      </c>
      <c r="J12" s="87"/>
      <c r="K12" s="87"/>
      <c r="L12" s="87" t="s">
        <v>911</v>
      </c>
      <c r="M12" s="87"/>
      <c r="N12" s="87"/>
      <c r="O12" s="87"/>
      <c r="P12" s="23" t="s">
        <v>48</v>
      </c>
      <c r="Q12" s="23" t="s">
        <v>160</v>
      </c>
      <c r="R12" s="23">
        <v>100</v>
      </c>
      <c r="S12" s="23">
        <v>100</v>
      </c>
      <c r="T12" s="23">
        <v>78.69</v>
      </c>
      <c r="U12" s="45">
        <v>102.9</v>
      </c>
    </row>
    <row r="13" spans="1:21" ht="75" customHeight="1" thickTop="1" x14ac:dyDescent="0.2">
      <c r="A13" s="21"/>
      <c r="B13" s="22" t="s">
        <v>50</v>
      </c>
      <c r="C13" s="87" t="s">
        <v>912</v>
      </c>
      <c r="D13" s="87"/>
      <c r="E13" s="87"/>
      <c r="F13" s="87"/>
      <c r="G13" s="87"/>
      <c r="H13" s="87"/>
      <c r="I13" s="87" t="s">
        <v>913</v>
      </c>
      <c r="J13" s="87"/>
      <c r="K13" s="87"/>
      <c r="L13" s="87" t="s">
        <v>914</v>
      </c>
      <c r="M13" s="87"/>
      <c r="N13" s="87"/>
      <c r="O13" s="87"/>
      <c r="P13" s="23" t="s">
        <v>48</v>
      </c>
      <c r="Q13" s="23" t="s">
        <v>507</v>
      </c>
      <c r="R13" s="23">
        <v>100</v>
      </c>
      <c r="S13" s="23">
        <v>100</v>
      </c>
      <c r="T13" s="23">
        <v>98.12</v>
      </c>
      <c r="U13" s="45">
        <f>98.12</f>
        <v>98.12</v>
      </c>
    </row>
    <row r="14" spans="1:21" ht="75" customHeight="1" thickBot="1" x14ac:dyDescent="0.25">
      <c r="A14" s="21"/>
      <c r="B14" s="24" t="s">
        <v>55</v>
      </c>
      <c r="C14" s="88" t="s">
        <v>915</v>
      </c>
      <c r="D14" s="88"/>
      <c r="E14" s="88"/>
      <c r="F14" s="88"/>
      <c r="G14" s="88"/>
      <c r="H14" s="88"/>
      <c r="I14" s="88" t="s">
        <v>916</v>
      </c>
      <c r="J14" s="88"/>
      <c r="K14" s="88"/>
      <c r="L14" s="88" t="s">
        <v>917</v>
      </c>
      <c r="M14" s="88"/>
      <c r="N14" s="88"/>
      <c r="O14" s="88"/>
      <c r="P14" s="25" t="s">
        <v>48</v>
      </c>
      <c r="Q14" s="25" t="s">
        <v>167</v>
      </c>
      <c r="R14" s="25">
        <v>100</v>
      </c>
      <c r="S14" s="25">
        <v>100</v>
      </c>
      <c r="T14" s="25">
        <v>99.57</v>
      </c>
      <c r="U14" s="46">
        <f>99.57</f>
        <v>99.57</v>
      </c>
    </row>
    <row r="15" spans="1:21" ht="75" customHeight="1" thickTop="1" x14ac:dyDescent="0.2">
      <c r="A15" s="21"/>
      <c r="B15" s="22" t="s">
        <v>61</v>
      </c>
      <c r="C15" s="87" t="s">
        <v>918</v>
      </c>
      <c r="D15" s="87"/>
      <c r="E15" s="87"/>
      <c r="F15" s="87"/>
      <c r="G15" s="87"/>
      <c r="H15" s="87"/>
      <c r="I15" s="87" t="s">
        <v>919</v>
      </c>
      <c r="J15" s="87"/>
      <c r="K15" s="87"/>
      <c r="L15" s="87" t="s">
        <v>920</v>
      </c>
      <c r="M15" s="87"/>
      <c r="N15" s="87"/>
      <c r="O15" s="87"/>
      <c r="P15" s="23" t="s">
        <v>59</v>
      </c>
      <c r="Q15" s="23" t="s">
        <v>167</v>
      </c>
      <c r="R15" s="23">
        <v>100</v>
      </c>
      <c r="S15" s="23">
        <v>100</v>
      </c>
      <c r="T15" s="23">
        <v>97.32</v>
      </c>
      <c r="U15" s="45">
        <f>97.32</f>
        <v>97.32</v>
      </c>
    </row>
    <row r="16" spans="1:21" ht="75" customHeight="1" x14ac:dyDescent="0.2">
      <c r="A16" s="21"/>
      <c r="B16" s="24" t="s">
        <v>55</v>
      </c>
      <c r="C16" s="88" t="s">
        <v>921</v>
      </c>
      <c r="D16" s="88"/>
      <c r="E16" s="88"/>
      <c r="F16" s="88"/>
      <c r="G16" s="88"/>
      <c r="H16" s="88"/>
      <c r="I16" s="88" t="s">
        <v>922</v>
      </c>
      <c r="J16" s="88"/>
      <c r="K16" s="88"/>
      <c r="L16" s="88" t="s">
        <v>923</v>
      </c>
      <c r="M16" s="88"/>
      <c r="N16" s="88"/>
      <c r="O16" s="88"/>
      <c r="P16" s="25" t="s">
        <v>48</v>
      </c>
      <c r="Q16" s="25" t="s">
        <v>167</v>
      </c>
      <c r="R16" s="25">
        <v>100</v>
      </c>
      <c r="S16" s="25">
        <v>100</v>
      </c>
      <c r="T16" s="25">
        <v>97.32</v>
      </c>
      <c r="U16" s="46">
        <f>97.32</f>
        <v>97.32</v>
      </c>
    </row>
    <row r="17" spans="1:22" ht="75" customHeight="1" x14ac:dyDescent="0.2">
      <c r="A17" s="21"/>
      <c r="B17" s="24" t="s">
        <v>55</v>
      </c>
      <c r="C17" s="88" t="s">
        <v>924</v>
      </c>
      <c r="D17" s="88"/>
      <c r="E17" s="88"/>
      <c r="F17" s="88"/>
      <c r="G17" s="88"/>
      <c r="H17" s="88"/>
      <c r="I17" s="88" t="s">
        <v>925</v>
      </c>
      <c r="J17" s="88"/>
      <c r="K17" s="88"/>
      <c r="L17" s="88" t="s">
        <v>926</v>
      </c>
      <c r="M17" s="88"/>
      <c r="N17" s="88"/>
      <c r="O17" s="88"/>
      <c r="P17" s="25" t="s">
        <v>48</v>
      </c>
      <c r="Q17" s="25" t="s">
        <v>492</v>
      </c>
      <c r="R17" s="25">
        <v>100</v>
      </c>
      <c r="S17" s="25">
        <v>100</v>
      </c>
      <c r="T17" s="25">
        <v>98.12</v>
      </c>
      <c r="U17" s="46">
        <f>98.12</f>
        <v>98.12</v>
      </c>
    </row>
    <row r="18" spans="1:22" ht="75" customHeight="1" x14ac:dyDescent="0.2">
      <c r="A18" s="21"/>
      <c r="B18" s="24" t="s">
        <v>55</v>
      </c>
      <c r="C18" s="88" t="s">
        <v>927</v>
      </c>
      <c r="D18" s="88"/>
      <c r="E18" s="88"/>
      <c r="F18" s="88"/>
      <c r="G18" s="88"/>
      <c r="H18" s="88"/>
      <c r="I18" s="88" t="s">
        <v>928</v>
      </c>
      <c r="J18" s="88"/>
      <c r="K18" s="88"/>
      <c r="L18" s="88" t="s">
        <v>929</v>
      </c>
      <c r="M18" s="88"/>
      <c r="N18" s="88"/>
      <c r="O18" s="88"/>
      <c r="P18" s="25" t="s">
        <v>48</v>
      </c>
      <c r="Q18" s="25" t="s">
        <v>507</v>
      </c>
      <c r="R18" s="25">
        <v>100</v>
      </c>
      <c r="S18" s="25">
        <v>100</v>
      </c>
      <c r="T18" s="25">
        <v>98.12</v>
      </c>
      <c r="U18" s="46">
        <f>98.12</f>
        <v>98.12</v>
      </c>
    </row>
    <row r="19" spans="1:22" ht="75" customHeight="1" thickBot="1" x14ac:dyDescent="0.25">
      <c r="A19" s="21"/>
      <c r="B19" s="24" t="s">
        <v>55</v>
      </c>
      <c r="C19" s="88" t="s">
        <v>930</v>
      </c>
      <c r="D19" s="88"/>
      <c r="E19" s="88"/>
      <c r="F19" s="88"/>
      <c r="G19" s="88"/>
      <c r="H19" s="88"/>
      <c r="I19" s="88" t="s">
        <v>931</v>
      </c>
      <c r="J19" s="88"/>
      <c r="K19" s="88"/>
      <c r="L19" s="88" t="s">
        <v>932</v>
      </c>
      <c r="M19" s="88"/>
      <c r="N19" s="88"/>
      <c r="O19" s="88"/>
      <c r="P19" s="25" t="s">
        <v>48</v>
      </c>
      <c r="Q19" s="25" t="s">
        <v>167</v>
      </c>
      <c r="R19" s="25">
        <v>100</v>
      </c>
      <c r="S19" s="25">
        <v>100</v>
      </c>
      <c r="T19" s="25">
        <v>6.25</v>
      </c>
      <c r="U19" s="46">
        <f>6.25</f>
        <v>6.25</v>
      </c>
    </row>
    <row r="20" spans="1:22" ht="14.25" customHeight="1" thickTop="1" thickBot="1" x14ac:dyDescent="0.25">
      <c r="B20" s="4" t="s">
        <v>80</v>
      </c>
      <c r="C20" s="5"/>
      <c r="D20" s="5"/>
      <c r="E20" s="5"/>
      <c r="F20" s="5"/>
      <c r="G20" s="5"/>
      <c r="H20" s="6"/>
      <c r="I20" s="6"/>
      <c r="J20" s="6"/>
      <c r="K20" s="6"/>
      <c r="L20" s="6"/>
      <c r="M20" s="6"/>
      <c r="N20" s="6"/>
      <c r="O20" s="6"/>
      <c r="P20" s="6"/>
      <c r="Q20" s="6"/>
      <c r="R20" s="6"/>
      <c r="S20" s="6"/>
      <c r="T20" s="6"/>
      <c r="U20" s="7"/>
      <c r="V20" s="26"/>
    </row>
    <row r="21" spans="1:22" ht="26.25" customHeight="1" thickTop="1" x14ac:dyDescent="0.2">
      <c r="B21" s="27"/>
      <c r="C21" s="28"/>
      <c r="D21" s="28"/>
      <c r="E21" s="28"/>
      <c r="F21" s="28"/>
      <c r="G21" s="28"/>
      <c r="H21" s="29"/>
      <c r="I21" s="29"/>
      <c r="J21" s="29"/>
      <c r="K21" s="29"/>
      <c r="L21" s="29"/>
      <c r="M21" s="29"/>
      <c r="N21" s="29"/>
      <c r="O21" s="29"/>
      <c r="P21" s="29"/>
      <c r="Q21" s="29"/>
      <c r="R21" s="30"/>
      <c r="S21" s="31" t="s">
        <v>33</v>
      </c>
      <c r="T21" s="31" t="s">
        <v>81</v>
      </c>
      <c r="U21" s="18" t="s">
        <v>82</v>
      </c>
    </row>
    <row r="22" spans="1:22" ht="26.25" customHeight="1" thickBot="1" x14ac:dyDescent="0.25">
      <c r="B22" s="32"/>
      <c r="C22" s="33"/>
      <c r="D22" s="33"/>
      <c r="E22" s="33"/>
      <c r="F22" s="33"/>
      <c r="G22" s="33"/>
      <c r="H22" s="34"/>
      <c r="I22" s="34"/>
      <c r="J22" s="34"/>
      <c r="K22" s="34"/>
      <c r="L22" s="34"/>
      <c r="M22" s="34"/>
      <c r="N22" s="34"/>
      <c r="O22" s="34"/>
      <c r="P22" s="34"/>
      <c r="Q22" s="34"/>
      <c r="R22" s="34"/>
      <c r="S22" s="35" t="s">
        <v>83</v>
      </c>
      <c r="T22" s="36" t="s">
        <v>83</v>
      </c>
      <c r="U22" s="36" t="s">
        <v>84</v>
      </c>
    </row>
    <row r="23" spans="1:22" ht="13.5" customHeight="1" thickBot="1" x14ac:dyDescent="0.25">
      <c r="B23" s="92" t="s">
        <v>85</v>
      </c>
      <c r="C23" s="93"/>
      <c r="D23" s="93"/>
      <c r="E23" s="37"/>
      <c r="F23" s="37"/>
      <c r="G23" s="37"/>
      <c r="H23" s="38"/>
      <c r="I23" s="38"/>
      <c r="J23" s="38"/>
      <c r="K23" s="38"/>
      <c r="L23" s="38"/>
      <c r="M23" s="38"/>
      <c r="N23" s="38"/>
      <c r="O23" s="38"/>
      <c r="P23" s="39"/>
      <c r="Q23" s="39"/>
      <c r="R23" s="39"/>
      <c r="S23" s="48">
        <v>141.36854500000001</v>
      </c>
      <c r="T23" s="48">
        <v>133.32169629999999</v>
      </c>
      <c r="U23" s="49">
        <f>+IF(ISERR(T23/S23*100),"N/A",ROUND(T23/S23*100,1))</f>
        <v>94.3</v>
      </c>
    </row>
    <row r="24" spans="1:22" ht="13.5" customHeight="1" thickBot="1" x14ac:dyDescent="0.25">
      <c r="B24" s="94" t="s">
        <v>86</v>
      </c>
      <c r="C24" s="95"/>
      <c r="D24" s="95"/>
      <c r="E24" s="40"/>
      <c r="F24" s="40"/>
      <c r="G24" s="40"/>
      <c r="H24" s="41"/>
      <c r="I24" s="41"/>
      <c r="J24" s="41"/>
      <c r="K24" s="41"/>
      <c r="L24" s="41"/>
      <c r="M24" s="41"/>
      <c r="N24" s="41"/>
      <c r="O24" s="41"/>
      <c r="P24" s="42"/>
      <c r="Q24" s="42"/>
      <c r="R24" s="42"/>
      <c r="S24" s="48">
        <v>133.32169629999999</v>
      </c>
      <c r="T24" s="48">
        <v>133.32169629999999</v>
      </c>
      <c r="U24" s="49">
        <f>+IF(ISERR(T24/S24*100),"N/A",ROUND(T24/S24*100,1))</f>
        <v>100</v>
      </c>
    </row>
    <row r="25" spans="1:22" ht="14.85" customHeight="1" thickTop="1" thickBot="1" x14ac:dyDescent="0.25">
      <c r="B25" s="4" t="s">
        <v>87</v>
      </c>
      <c r="C25" s="5"/>
      <c r="D25" s="5"/>
      <c r="E25" s="5"/>
      <c r="F25" s="5"/>
      <c r="G25" s="5"/>
      <c r="H25" s="6"/>
      <c r="I25" s="6"/>
      <c r="J25" s="6"/>
      <c r="K25" s="6"/>
      <c r="L25" s="6"/>
      <c r="M25" s="6"/>
      <c r="N25" s="6"/>
      <c r="O25" s="6"/>
      <c r="P25" s="6"/>
      <c r="Q25" s="6"/>
      <c r="R25" s="6"/>
      <c r="S25" s="6"/>
      <c r="T25" s="6"/>
      <c r="U25" s="7"/>
    </row>
    <row r="26" spans="1:22" ht="44.25" customHeight="1" thickTop="1" x14ac:dyDescent="0.2">
      <c r="B26" s="89" t="s">
        <v>88</v>
      </c>
      <c r="C26" s="90"/>
      <c r="D26" s="90"/>
      <c r="E26" s="90"/>
      <c r="F26" s="90"/>
      <c r="G26" s="90"/>
      <c r="H26" s="90"/>
      <c r="I26" s="90"/>
      <c r="J26" s="90"/>
      <c r="K26" s="90"/>
      <c r="L26" s="90"/>
      <c r="M26" s="90"/>
      <c r="N26" s="90"/>
      <c r="O26" s="90"/>
      <c r="P26" s="90"/>
      <c r="Q26" s="90"/>
      <c r="R26" s="90"/>
      <c r="S26" s="90"/>
      <c r="T26" s="90"/>
      <c r="U26" s="91"/>
    </row>
    <row r="27" spans="1:22" ht="120.6" customHeight="1" x14ac:dyDescent="0.2">
      <c r="B27" s="96" t="s">
        <v>933</v>
      </c>
      <c r="C27" s="97"/>
      <c r="D27" s="97"/>
      <c r="E27" s="97"/>
      <c r="F27" s="97"/>
      <c r="G27" s="97"/>
      <c r="H27" s="97"/>
      <c r="I27" s="97"/>
      <c r="J27" s="97"/>
      <c r="K27" s="97"/>
      <c r="L27" s="97"/>
      <c r="M27" s="97"/>
      <c r="N27" s="97"/>
      <c r="O27" s="97"/>
      <c r="P27" s="97"/>
      <c r="Q27" s="97"/>
      <c r="R27" s="97"/>
      <c r="S27" s="97"/>
      <c r="T27" s="97"/>
      <c r="U27" s="98"/>
    </row>
    <row r="28" spans="1:22" ht="63" customHeight="1" x14ac:dyDescent="0.2">
      <c r="B28" s="96" t="s">
        <v>934</v>
      </c>
      <c r="C28" s="97"/>
      <c r="D28" s="97"/>
      <c r="E28" s="97"/>
      <c r="F28" s="97"/>
      <c r="G28" s="97"/>
      <c r="H28" s="97"/>
      <c r="I28" s="97"/>
      <c r="J28" s="97"/>
      <c r="K28" s="97"/>
      <c r="L28" s="97"/>
      <c r="M28" s="97"/>
      <c r="N28" s="97"/>
      <c r="O28" s="97"/>
      <c r="P28" s="97"/>
      <c r="Q28" s="97"/>
      <c r="R28" s="97"/>
      <c r="S28" s="97"/>
      <c r="T28" s="97"/>
      <c r="U28" s="98"/>
    </row>
    <row r="29" spans="1:22" ht="63" customHeight="1" x14ac:dyDescent="0.2">
      <c r="B29" s="96" t="s">
        <v>935</v>
      </c>
      <c r="C29" s="97"/>
      <c r="D29" s="97"/>
      <c r="E29" s="97"/>
      <c r="F29" s="97"/>
      <c r="G29" s="97"/>
      <c r="H29" s="97"/>
      <c r="I29" s="97"/>
      <c r="J29" s="97"/>
      <c r="K29" s="97"/>
      <c r="L29" s="97"/>
      <c r="M29" s="97"/>
      <c r="N29" s="97"/>
      <c r="O29" s="97"/>
      <c r="P29" s="97"/>
      <c r="Q29" s="97"/>
      <c r="R29" s="97"/>
      <c r="S29" s="97"/>
      <c r="T29" s="97"/>
      <c r="U29" s="98"/>
    </row>
    <row r="30" spans="1:22" ht="63" customHeight="1" x14ac:dyDescent="0.2">
      <c r="B30" s="96" t="s">
        <v>936</v>
      </c>
      <c r="C30" s="97"/>
      <c r="D30" s="97"/>
      <c r="E30" s="97"/>
      <c r="F30" s="97"/>
      <c r="G30" s="97"/>
      <c r="H30" s="97"/>
      <c r="I30" s="97"/>
      <c r="J30" s="97"/>
      <c r="K30" s="97"/>
      <c r="L30" s="97"/>
      <c r="M30" s="97"/>
      <c r="N30" s="97"/>
      <c r="O30" s="97"/>
      <c r="P30" s="97"/>
      <c r="Q30" s="97"/>
      <c r="R30" s="97"/>
      <c r="S30" s="97"/>
      <c r="T30" s="97"/>
      <c r="U30" s="98"/>
    </row>
    <row r="31" spans="1:22" ht="63" customHeight="1" x14ac:dyDescent="0.2">
      <c r="B31" s="96" t="s">
        <v>937</v>
      </c>
      <c r="C31" s="97"/>
      <c r="D31" s="97"/>
      <c r="E31" s="97"/>
      <c r="F31" s="97"/>
      <c r="G31" s="97"/>
      <c r="H31" s="97"/>
      <c r="I31" s="97"/>
      <c r="J31" s="97"/>
      <c r="K31" s="97"/>
      <c r="L31" s="97"/>
      <c r="M31" s="97"/>
      <c r="N31" s="97"/>
      <c r="O31" s="97"/>
      <c r="P31" s="97"/>
      <c r="Q31" s="97"/>
      <c r="R31" s="97"/>
      <c r="S31" s="97"/>
      <c r="T31" s="97"/>
      <c r="U31" s="98"/>
    </row>
    <row r="32" spans="1:22" ht="63" customHeight="1" x14ac:dyDescent="0.2">
      <c r="B32" s="96" t="s">
        <v>938</v>
      </c>
      <c r="C32" s="97"/>
      <c r="D32" s="97"/>
      <c r="E32" s="97"/>
      <c r="F32" s="97"/>
      <c r="G32" s="97"/>
      <c r="H32" s="97"/>
      <c r="I32" s="97"/>
      <c r="J32" s="97"/>
      <c r="K32" s="97"/>
      <c r="L32" s="97"/>
      <c r="M32" s="97"/>
      <c r="N32" s="97"/>
      <c r="O32" s="97"/>
      <c r="P32" s="97"/>
      <c r="Q32" s="97"/>
      <c r="R32" s="97"/>
      <c r="S32" s="97"/>
      <c r="T32" s="97"/>
      <c r="U32" s="98"/>
    </row>
    <row r="33" spans="2:21" ht="63" customHeight="1" x14ac:dyDescent="0.2">
      <c r="B33" s="96" t="s">
        <v>939</v>
      </c>
      <c r="C33" s="97"/>
      <c r="D33" s="97"/>
      <c r="E33" s="97"/>
      <c r="F33" s="97"/>
      <c r="G33" s="97"/>
      <c r="H33" s="97"/>
      <c r="I33" s="97"/>
      <c r="J33" s="97"/>
      <c r="K33" s="97"/>
      <c r="L33" s="97"/>
      <c r="M33" s="97"/>
      <c r="N33" s="97"/>
      <c r="O33" s="97"/>
      <c r="P33" s="97"/>
      <c r="Q33" s="97"/>
      <c r="R33" s="97"/>
      <c r="S33" s="97"/>
      <c r="T33" s="97"/>
      <c r="U33" s="98"/>
    </row>
    <row r="34" spans="2:21" ht="63" customHeight="1" x14ac:dyDescent="0.2">
      <c r="B34" s="96" t="s">
        <v>940</v>
      </c>
      <c r="C34" s="97"/>
      <c r="D34" s="97"/>
      <c r="E34" s="97"/>
      <c r="F34" s="97"/>
      <c r="G34" s="97"/>
      <c r="H34" s="97"/>
      <c r="I34" s="97"/>
      <c r="J34" s="97"/>
      <c r="K34" s="97"/>
      <c r="L34" s="97"/>
      <c r="M34" s="97"/>
      <c r="N34" s="97"/>
      <c r="O34" s="97"/>
      <c r="P34" s="97"/>
      <c r="Q34" s="97"/>
      <c r="R34" s="97"/>
      <c r="S34" s="97"/>
      <c r="T34" s="97"/>
      <c r="U34" s="98"/>
    </row>
    <row r="35" spans="2:21" ht="63" customHeight="1" thickBot="1" x14ac:dyDescent="0.25">
      <c r="B35" s="99" t="s">
        <v>941</v>
      </c>
      <c r="C35" s="100"/>
      <c r="D35" s="100"/>
      <c r="E35" s="100"/>
      <c r="F35" s="100"/>
      <c r="G35" s="100"/>
      <c r="H35" s="100"/>
      <c r="I35" s="100"/>
      <c r="J35" s="100"/>
      <c r="K35" s="100"/>
      <c r="L35" s="100"/>
      <c r="M35" s="100"/>
      <c r="N35" s="100"/>
      <c r="O35" s="100"/>
      <c r="P35" s="100"/>
      <c r="Q35" s="100"/>
      <c r="R35" s="100"/>
      <c r="S35" s="100"/>
      <c r="T35" s="100"/>
      <c r="U35" s="101"/>
    </row>
  </sheetData>
  <mergeCells count="60">
    <mergeCell ref="B35:U35"/>
    <mergeCell ref="B23:D23"/>
    <mergeCell ref="B24:D24"/>
    <mergeCell ref="B26:U26"/>
    <mergeCell ref="B27:U27"/>
    <mergeCell ref="B28:U28"/>
    <mergeCell ref="B29:U29"/>
    <mergeCell ref="B30:U30"/>
    <mergeCell ref="B31:U31"/>
    <mergeCell ref="B32:U32"/>
    <mergeCell ref="B33:U33"/>
    <mergeCell ref="B34:U34"/>
    <mergeCell ref="C18:H18"/>
    <mergeCell ref="I18:K18"/>
    <mergeCell ref="L18:O18"/>
    <mergeCell ref="C19:H19"/>
    <mergeCell ref="I19:K19"/>
    <mergeCell ref="L19:O19"/>
    <mergeCell ref="C16:H16"/>
    <mergeCell ref="I16:K16"/>
    <mergeCell ref="L16:O16"/>
    <mergeCell ref="C17:H17"/>
    <mergeCell ref="I17:K17"/>
    <mergeCell ref="L17:O17"/>
    <mergeCell ref="C14:H14"/>
    <mergeCell ref="I14:K14"/>
    <mergeCell ref="L14:O14"/>
    <mergeCell ref="C15:H15"/>
    <mergeCell ref="I15:K15"/>
    <mergeCell ref="L15:O15"/>
    <mergeCell ref="C12:H12"/>
    <mergeCell ref="I12:K12"/>
    <mergeCell ref="L12:O12"/>
    <mergeCell ref="C13:H13"/>
    <mergeCell ref="I13:K13"/>
    <mergeCell ref="L13:O13"/>
    <mergeCell ref="C11:H11"/>
    <mergeCell ref="I11:K11"/>
    <mergeCell ref="L11:O11"/>
    <mergeCell ref="C6:G6"/>
    <mergeCell ref="K6:M6"/>
    <mergeCell ref="P6:Q6"/>
    <mergeCell ref="T6:U6"/>
    <mergeCell ref="B8:B10"/>
    <mergeCell ref="C8:H10"/>
    <mergeCell ref="I8:S8"/>
    <mergeCell ref="T8:U8"/>
    <mergeCell ref="I9:K10"/>
    <mergeCell ref="L9:O10"/>
    <mergeCell ref="P9:P10"/>
    <mergeCell ref="Q9:Q10"/>
    <mergeCell ref="R9:S9"/>
    <mergeCell ref="T9:T10"/>
    <mergeCell ref="U9:U10"/>
    <mergeCell ref="B5:U5"/>
    <mergeCell ref="B1:L1"/>
    <mergeCell ref="D4:H4"/>
    <mergeCell ref="L4:O4"/>
    <mergeCell ref="Q4:R4"/>
    <mergeCell ref="T4:U4"/>
  </mergeCells>
  <printOptions horizontalCentered="1"/>
  <pageMargins left="0.78740157480314965" right="0.78740157480314965" top="0.98425196850393704" bottom="0.98425196850393704" header="0" footer="0.39370078740157483"/>
  <pageSetup scale="60" fitToHeight="10" orientation="landscape" r:id="rId1"/>
  <headerFooter>
    <oddFooter>&amp;R&amp;P de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33"/>
  <sheetViews>
    <sheetView view="pageBreakPreview" topLeftCell="D4" zoomScale="80" zoomScaleNormal="80" zoomScaleSheetLayoutView="80" workbookViewId="0">
      <selection activeCell="U12" sqref="T12:U12"/>
    </sheetView>
  </sheetViews>
  <sheetFormatPr baseColWidth="10" defaultColWidth="10" defaultRowHeight="12.75" x14ac:dyDescent="0.2"/>
  <cols>
    <col min="1" max="1" width="3.5" style="1" customWidth="1"/>
    <col min="2" max="2" width="14.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9.5" style="1" customWidth="1"/>
    <col min="19" max="19" width="13" style="1" customWidth="1"/>
    <col min="20" max="20" width="10.75" style="1" customWidth="1"/>
    <col min="21" max="21" width="11.12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50" t="s">
        <v>0</v>
      </c>
      <c r="C1" s="50"/>
      <c r="D1" s="50"/>
      <c r="E1" s="50"/>
      <c r="F1" s="50"/>
      <c r="G1" s="50"/>
      <c r="H1" s="50"/>
      <c r="I1" s="50"/>
      <c r="J1" s="50"/>
      <c r="K1" s="50"/>
      <c r="L1" s="50"/>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51.75" customHeight="1" thickTop="1" x14ac:dyDescent="0.2">
      <c r="B4" s="8" t="s">
        <v>6</v>
      </c>
      <c r="C4" s="9" t="s">
        <v>7</v>
      </c>
      <c r="D4" s="57" t="s">
        <v>8</v>
      </c>
      <c r="E4" s="57"/>
      <c r="F4" s="57"/>
      <c r="G4" s="57"/>
      <c r="H4" s="57"/>
      <c r="I4" s="10"/>
      <c r="J4" s="11" t="s">
        <v>9</v>
      </c>
      <c r="K4" s="12" t="s">
        <v>10</v>
      </c>
      <c r="L4" s="58" t="s">
        <v>11</v>
      </c>
      <c r="M4" s="58"/>
      <c r="N4" s="58"/>
      <c r="O4" s="58"/>
      <c r="P4" s="11" t="s">
        <v>12</v>
      </c>
      <c r="Q4" s="58" t="s">
        <v>13</v>
      </c>
      <c r="R4" s="58"/>
      <c r="S4" s="11" t="s">
        <v>14</v>
      </c>
      <c r="T4" s="58"/>
      <c r="U4" s="59"/>
    </row>
    <row r="5" spans="1:21" ht="15.75" customHeight="1" x14ac:dyDescent="0.2">
      <c r="B5" s="54" t="s">
        <v>15</v>
      </c>
      <c r="C5" s="55"/>
      <c r="D5" s="55"/>
      <c r="E5" s="55"/>
      <c r="F5" s="55"/>
      <c r="G5" s="55"/>
      <c r="H5" s="55"/>
      <c r="I5" s="55"/>
      <c r="J5" s="55"/>
      <c r="K5" s="55"/>
      <c r="L5" s="55"/>
      <c r="M5" s="55"/>
      <c r="N5" s="55"/>
      <c r="O5" s="55"/>
      <c r="P5" s="55"/>
      <c r="Q5" s="55"/>
      <c r="R5" s="55"/>
      <c r="S5" s="55"/>
      <c r="T5" s="55"/>
      <c r="U5" s="56"/>
    </row>
    <row r="6" spans="1:21" ht="37.5" customHeight="1" thickBot="1" x14ac:dyDescent="0.25">
      <c r="B6" s="13" t="s">
        <v>16</v>
      </c>
      <c r="C6" s="60" t="s">
        <v>17</v>
      </c>
      <c r="D6" s="60"/>
      <c r="E6" s="60"/>
      <c r="F6" s="60"/>
      <c r="G6" s="60"/>
      <c r="H6" s="14"/>
      <c r="I6" s="14"/>
      <c r="J6" s="14" t="s">
        <v>18</v>
      </c>
      <c r="K6" s="60" t="s">
        <v>19</v>
      </c>
      <c r="L6" s="60"/>
      <c r="M6" s="60"/>
      <c r="N6" s="15"/>
      <c r="O6" s="16" t="s">
        <v>20</v>
      </c>
      <c r="P6" s="60" t="s">
        <v>21</v>
      </c>
      <c r="Q6" s="60"/>
      <c r="R6" s="17"/>
      <c r="S6" s="16" t="s">
        <v>22</v>
      </c>
      <c r="T6" s="60" t="s">
        <v>23</v>
      </c>
      <c r="U6" s="61"/>
    </row>
    <row r="7" spans="1:21" ht="14.25" customHeight="1" thickTop="1" thickBot="1" x14ac:dyDescent="0.25">
      <c r="B7" s="4" t="s">
        <v>24</v>
      </c>
      <c r="C7" s="5"/>
      <c r="D7" s="5"/>
      <c r="E7" s="5"/>
      <c r="F7" s="5"/>
      <c r="G7" s="5"/>
      <c r="H7" s="6"/>
      <c r="I7" s="6"/>
      <c r="J7" s="6"/>
      <c r="K7" s="6"/>
      <c r="L7" s="6"/>
      <c r="M7" s="6"/>
      <c r="N7" s="6"/>
      <c r="O7" s="6"/>
      <c r="P7" s="6"/>
      <c r="Q7" s="6"/>
      <c r="R7" s="6"/>
      <c r="S7" s="6"/>
      <c r="T7" s="6"/>
      <c r="U7" s="7"/>
    </row>
    <row r="8" spans="1:21" ht="16.5" customHeight="1" thickTop="1" x14ac:dyDescent="0.2">
      <c r="B8" s="62" t="s">
        <v>25</v>
      </c>
      <c r="C8" s="65" t="s">
        <v>26</v>
      </c>
      <c r="D8" s="66"/>
      <c r="E8" s="66"/>
      <c r="F8" s="66"/>
      <c r="G8" s="66"/>
      <c r="H8" s="67"/>
      <c r="I8" s="74" t="s">
        <v>27</v>
      </c>
      <c r="J8" s="75"/>
      <c r="K8" s="75"/>
      <c r="L8" s="75"/>
      <c r="M8" s="75"/>
      <c r="N8" s="75"/>
      <c r="O8" s="75"/>
      <c r="P8" s="75"/>
      <c r="Q8" s="75"/>
      <c r="R8" s="75"/>
      <c r="S8" s="76"/>
      <c r="T8" s="77" t="s">
        <v>28</v>
      </c>
      <c r="U8" s="78"/>
    </row>
    <row r="9" spans="1:21" ht="19.5" customHeight="1" x14ac:dyDescent="0.2">
      <c r="B9" s="63"/>
      <c r="C9" s="68"/>
      <c r="D9" s="69"/>
      <c r="E9" s="69"/>
      <c r="F9" s="69"/>
      <c r="G9" s="69"/>
      <c r="H9" s="70"/>
      <c r="I9" s="79" t="s">
        <v>29</v>
      </c>
      <c r="J9" s="80"/>
      <c r="K9" s="80"/>
      <c r="L9" s="80" t="s">
        <v>30</v>
      </c>
      <c r="M9" s="80"/>
      <c r="N9" s="80"/>
      <c r="O9" s="80"/>
      <c r="P9" s="80" t="s">
        <v>31</v>
      </c>
      <c r="Q9" s="80" t="s">
        <v>32</v>
      </c>
      <c r="R9" s="83" t="s">
        <v>33</v>
      </c>
      <c r="S9" s="84"/>
      <c r="T9" s="80" t="s">
        <v>34</v>
      </c>
      <c r="U9" s="85" t="s">
        <v>35</v>
      </c>
    </row>
    <row r="10" spans="1:21" ht="26.25" customHeight="1" thickBot="1" x14ac:dyDescent="0.25">
      <c r="B10" s="64"/>
      <c r="C10" s="71"/>
      <c r="D10" s="72"/>
      <c r="E10" s="72"/>
      <c r="F10" s="72"/>
      <c r="G10" s="72"/>
      <c r="H10" s="73"/>
      <c r="I10" s="81"/>
      <c r="J10" s="82"/>
      <c r="K10" s="82"/>
      <c r="L10" s="82"/>
      <c r="M10" s="82"/>
      <c r="N10" s="82"/>
      <c r="O10" s="82"/>
      <c r="P10" s="82"/>
      <c r="Q10" s="82"/>
      <c r="R10" s="19" t="s">
        <v>36</v>
      </c>
      <c r="S10" s="20" t="s">
        <v>37</v>
      </c>
      <c r="T10" s="82"/>
      <c r="U10" s="86"/>
    </row>
    <row r="11" spans="1:21" ht="75" customHeight="1" thickTop="1" thickBot="1" x14ac:dyDescent="0.25">
      <c r="A11" s="21"/>
      <c r="B11" s="22" t="s">
        <v>38</v>
      </c>
      <c r="C11" s="87" t="s">
        <v>39</v>
      </c>
      <c r="D11" s="87"/>
      <c r="E11" s="87"/>
      <c r="F11" s="87"/>
      <c r="G11" s="87"/>
      <c r="H11" s="87"/>
      <c r="I11" s="87" t="s">
        <v>40</v>
      </c>
      <c r="J11" s="87"/>
      <c r="K11" s="87"/>
      <c r="L11" s="87" t="s">
        <v>41</v>
      </c>
      <c r="M11" s="87"/>
      <c r="N11" s="87"/>
      <c r="O11" s="87"/>
      <c r="P11" s="23" t="s">
        <v>42</v>
      </c>
      <c r="Q11" s="23" t="s">
        <v>43</v>
      </c>
      <c r="R11" s="23">
        <v>3.65</v>
      </c>
      <c r="S11" s="23">
        <v>3.65</v>
      </c>
      <c r="T11" s="23">
        <v>3.8</v>
      </c>
      <c r="U11" s="45">
        <f>104</f>
        <v>104</v>
      </c>
    </row>
    <row r="12" spans="1:21" ht="75" customHeight="1" thickTop="1" thickBot="1" x14ac:dyDescent="0.25">
      <c r="A12" s="21"/>
      <c r="B12" s="22" t="s">
        <v>44</v>
      </c>
      <c r="C12" s="87" t="s">
        <v>45</v>
      </c>
      <c r="D12" s="87"/>
      <c r="E12" s="87"/>
      <c r="F12" s="87"/>
      <c r="G12" s="87"/>
      <c r="H12" s="87"/>
      <c r="I12" s="87" t="s">
        <v>46</v>
      </c>
      <c r="J12" s="87"/>
      <c r="K12" s="87"/>
      <c r="L12" s="87" t="s">
        <v>47</v>
      </c>
      <c r="M12" s="87"/>
      <c r="N12" s="87"/>
      <c r="O12" s="87"/>
      <c r="P12" s="23" t="s">
        <v>48</v>
      </c>
      <c r="Q12" s="23" t="s">
        <v>49</v>
      </c>
      <c r="R12" s="23">
        <v>54.54</v>
      </c>
      <c r="S12" s="104">
        <v>54.54</v>
      </c>
      <c r="T12" s="104">
        <v>60.81</v>
      </c>
      <c r="U12" s="105">
        <v>111.49</v>
      </c>
    </row>
    <row r="13" spans="1:21" ht="75" customHeight="1" thickTop="1" x14ac:dyDescent="0.2">
      <c r="A13" s="21"/>
      <c r="B13" s="22" t="s">
        <v>50</v>
      </c>
      <c r="C13" s="87" t="s">
        <v>51</v>
      </c>
      <c r="D13" s="87"/>
      <c r="E13" s="87"/>
      <c r="F13" s="87"/>
      <c r="G13" s="87"/>
      <c r="H13" s="87"/>
      <c r="I13" s="87" t="s">
        <v>52</v>
      </c>
      <c r="J13" s="87"/>
      <c r="K13" s="87"/>
      <c r="L13" s="87" t="s">
        <v>53</v>
      </c>
      <c r="M13" s="87"/>
      <c r="N13" s="87"/>
      <c r="O13" s="87"/>
      <c r="P13" s="23" t="s">
        <v>54</v>
      </c>
      <c r="Q13" s="23" t="s">
        <v>49</v>
      </c>
      <c r="R13" s="23">
        <v>98.86</v>
      </c>
      <c r="S13" s="23">
        <v>98.86</v>
      </c>
      <c r="T13" s="23">
        <v>98.85</v>
      </c>
      <c r="U13" s="45">
        <f>100</f>
        <v>100</v>
      </c>
    </row>
    <row r="14" spans="1:21" ht="75" customHeight="1" thickBot="1" x14ac:dyDescent="0.25">
      <c r="A14" s="21"/>
      <c r="B14" s="24" t="s">
        <v>55</v>
      </c>
      <c r="C14" s="88" t="s">
        <v>56</v>
      </c>
      <c r="D14" s="88"/>
      <c r="E14" s="88"/>
      <c r="F14" s="88"/>
      <c r="G14" s="88"/>
      <c r="H14" s="88"/>
      <c r="I14" s="88" t="s">
        <v>57</v>
      </c>
      <c r="J14" s="88"/>
      <c r="K14" s="88"/>
      <c r="L14" s="88" t="s">
        <v>58</v>
      </c>
      <c r="M14" s="88"/>
      <c r="N14" s="88"/>
      <c r="O14" s="88"/>
      <c r="P14" s="25" t="s">
        <v>59</v>
      </c>
      <c r="Q14" s="25" t="s">
        <v>60</v>
      </c>
      <c r="R14" s="25">
        <v>13.21</v>
      </c>
      <c r="S14" s="25">
        <v>13.21</v>
      </c>
      <c r="T14" s="25">
        <v>13.83</v>
      </c>
      <c r="U14" s="46">
        <f>104.7</f>
        <v>104.7</v>
      </c>
    </row>
    <row r="15" spans="1:21" ht="88.5" customHeight="1" thickTop="1" x14ac:dyDescent="0.2">
      <c r="A15" s="21"/>
      <c r="B15" s="22" t="s">
        <v>61</v>
      </c>
      <c r="C15" s="87" t="s">
        <v>62</v>
      </c>
      <c r="D15" s="87"/>
      <c r="E15" s="87"/>
      <c r="F15" s="87"/>
      <c r="G15" s="87"/>
      <c r="H15" s="87"/>
      <c r="I15" s="87" t="s">
        <v>63</v>
      </c>
      <c r="J15" s="87"/>
      <c r="K15" s="87"/>
      <c r="L15" s="87" t="s">
        <v>64</v>
      </c>
      <c r="M15" s="87"/>
      <c r="N15" s="87"/>
      <c r="O15" s="87"/>
      <c r="P15" s="23" t="s">
        <v>65</v>
      </c>
      <c r="Q15" s="23" t="s">
        <v>66</v>
      </c>
      <c r="R15" s="23">
        <v>64.47</v>
      </c>
      <c r="S15" s="23">
        <v>64.47</v>
      </c>
      <c r="T15" s="23">
        <v>65.47</v>
      </c>
      <c r="U15" s="45">
        <f>101.55</f>
        <v>101.55</v>
      </c>
    </row>
    <row r="16" spans="1:21" ht="75" customHeight="1" x14ac:dyDescent="0.2">
      <c r="A16" s="21"/>
      <c r="B16" s="24" t="s">
        <v>55</v>
      </c>
      <c r="C16" s="88" t="s">
        <v>67</v>
      </c>
      <c r="D16" s="88"/>
      <c r="E16" s="88"/>
      <c r="F16" s="88"/>
      <c r="G16" s="88"/>
      <c r="H16" s="88"/>
      <c r="I16" s="88" t="s">
        <v>68</v>
      </c>
      <c r="J16" s="88"/>
      <c r="K16" s="88"/>
      <c r="L16" s="88" t="s">
        <v>69</v>
      </c>
      <c r="M16" s="88"/>
      <c r="N16" s="88"/>
      <c r="O16" s="88"/>
      <c r="P16" s="25" t="s">
        <v>70</v>
      </c>
      <c r="Q16" s="25" t="s">
        <v>71</v>
      </c>
      <c r="R16" s="25">
        <v>5.14</v>
      </c>
      <c r="S16" s="25">
        <v>5.14</v>
      </c>
      <c r="T16" s="25">
        <v>10.69</v>
      </c>
      <c r="U16" s="46">
        <f>207.98</f>
        <v>207.98</v>
      </c>
    </row>
    <row r="17" spans="1:22" ht="75" customHeight="1" x14ac:dyDescent="0.2">
      <c r="A17" s="21"/>
      <c r="B17" s="24" t="s">
        <v>55</v>
      </c>
      <c r="C17" s="88" t="s">
        <v>72</v>
      </c>
      <c r="D17" s="88"/>
      <c r="E17" s="88"/>
      <c r="F17" s="88"/>
      <c r="G17" s="88"/>
      <c r="H17" s="88"/>
      <c r="I17" s="88" t="s">
        <v>73</v>
      </c>
      <c r="J17" s="88"/>
      <c r="K17" s="88"/>
      <c r="L17" s="88" t="s">
        <v>74</v>
      </c>
      <c r="M17" s="88"/>
      <c r="N17" s="88"/>
      <c r="O17" s="88"/>
      <c r="P17" s="25" t="s">
        <v>75</v>
      </c>
      <c r="Q17" s="25" t="s">
        <v>66</v>
      </c>
      <c r="R17" s="25">
        <v>40.270000000000003</v>
      </c>
      <c r="S17" s="25">
        <v>40.270000000000003</v>
      </c>
      <c r="T17" s="25">
        <v>58.46</v>
      </c>
      <c r="U17" s="46">
        <f>145.17</f>
        <v>145.16999999999999</v>
      </c>
    </row>
    <row r="18" spans="1:22" ht="97.5" customHeight="1" thickBot="1" x14ac:dyDescent="0.25">
      <c r="A18" s="21"/>
      <c r="B18" s="24" t="s">
        <v>55</v>
      </c>
      <c r="C18" s="88" t="s">
        <v>76</v>
      </c>
      <c r="D18" s="88"/>
      <c r="E18" s="88"/>
      <c r="F18" s="88"/>
      <c r="G18" s="88"/>
      <c r="H18" s="88"/>
      <c r="I18" s="88" t="s">
        <v>77</v>
      </c>
      <c r="J18" s="88"/>
      <c r="K18" s="88"/>
      <c r="L18" s="88" t="s">
        <v>78</v>
      </c>
      <c r="M18" s="88"/>
      <c r="N18" s="88"/>
      <c r="O18" s="88"/>
      <c r="P18" s="25" t="s">
        <v>79</v>
      </c>
      <c r="Q18" s="25" t="s">
        <v>66</v>
      </c>
      <c r="R18" s="25">
        <v>22.89</v>
      </c>
      <c r="S18" s="25">
        <v>22.89</v>
      </c>
      <c r="T18" s="25">
        <v>20.07</v>
      </c>
      <c r="U18" s="46">
        <f>87.68</f>
        <v>87.68</v>
      </c>
    </row>
    <row r="19" spans="1:22" ht="14.25" customHeight="1" thickTop="1" thickBot="1" x14ac:dyDescent="0.25">
      <c r="B19" s="4" t="s">
        <v>80</v>
      </c>
      <c r="C19" s="5"/>
      <c r="D19" s="5"/>
      <c r="E19" s="5"/>
      <c r="F19" s="5"/>
      <c r="G19" s="5"/>
      <c r="H19" s="6"/>
      <c r="I19" s="6"/>
      <c r="J19" s="6"/>
      <c r="K19" s="6"/>
      <c r="L19" s="6"/>
      <c r="M19" s="6"/>
      <c r="N19" s="6"/>
      <c r="O19" s="6"/>
      <c r="P19" s="6"/>
      <c r="Q19" s="6"/>
      <c r="R19" s="6"/>
      <c r="S19" s="6"/>
      <c r="T19" s="6"/>
      <c r="U19" s="7"/>
      <c r="V19" s="26"/>
    </row>
    <row r="20" spans="1:22" ht="26.25" customHeight="1" thickTop="1" x14ac:dyDescent="0.2">
      <c r="B20" s="27"/>
      <c r="C20" s="28"/>
      <c r="D20" s="28"/>
      <c r="E20" s="28"/>
      <c r="F20" s="28"/>
      <c r="G20" s="28"/>
      <c r="H20" s="29"/>
      <c r="I20" s="29"/>
      <c r="J20" s="29"/>
      <c r="K20" s="29"/>
      <c r="L20" s="29"/>
      <c r="M20" s="29"/>
      <c r="N20" s="29"/>
      <c r="O20" s="29"/>
      <c r="P20" s="29"/>
      <c r="Q20" s="29"/>
      <c r="R20" s="30"/>
      <c r="S20" s="31" t="s">
        <v>33</v>
      </c>
      <c r="T20" s="31" t="s">
        <v>81</v>
      </c>
      <c r="U20" s="18" t="s">
        <v>82</v>
      </c>
    </row>
    <row r="21" spans="1:22" ht="26.25" customHeight="1" thickBot="1" x14ac:dyDescent="0.25">
      <c r="B21" s="32"/>
      <c r="C21" s="33"/>
      <c r="D21" s="33"/>
      <c r="E21" s="33"/>
      <c r="F21" s="33"/>
      <c r="G21" s="33"/>
      <c r="H21" s="34"/>
      <c r="I21" s="34"/>
      <c r="J21" s="34"/>
      <c r="K21" s="34"/>
      <c r="L21" s="34"/>
      <c r="M21" s="34"/>
      <c r="N21" s="34"/>
      <c r="O21" s="34"/>
      <c r="P21" s="34"/>
      <c r="Q21" s="34"/>
      <c r="R21" s="34"/>
      <c r="S21" s="35" t="s">
        <v>83</v>
      </c>
      <c r="T21" s="36" t="s">
        <v>83</v>
      </c>
      <c r="U21" s="36" t="s">
        <v>84</v>
      </c>
    </row>
    <row r="22" spans="1:22" ht="13.5" customHeight="1" thickBot="1" x14ac:dyDescent="0.25">
      <c r="B22" s="92" t="s">
        <v>85</v>
      </c>
      <c r="C22" s="93"/>
      <c r="D22" s="93"/>
      <c r="E22" s="37"/>
      <c r="F22" s="37"/>
      <c r="G22" s="37"/>
      <c r="H22" s="38"/>
      <c r="I22" s="38"/>
      <c r="J22" s="38"/>
      <c r="K22" s="38"/>
      <c r="L22" s="38"/>
      <c r="M22" s="38"/>
      <c r="N22" s="38"/>
      <c r="O22" s="38"/>
      <c r="P22" s="39"/>
      <c r="Q22" s="39"/>
      <c r="R22" s="39"/>
      <c r="S22" s="48">
        <v>6548.1515900000004</v>
      </c>
      <c r="T22" s="48">
        <v>6944.7814366900038</v>
      </c>
      <c r="U22" s="49">
        <f>+IF(ISERR(T22/S22*100),"N/A",ROUND(T22/S22*100,1))</f>
        <v>106.1</v>
      </c>
    </row>
    <row r="23" spans="1:22" ht="13.5" customHeight="1" thickBot="1" x14ac:dyDescent="0.25">
      <c r="B23" s="94" t="s">
        <v>86</v>
      </c>
      <c r="C23" s="95"/>
      <c r="D23" s="95"/>
      <c r="E23" s="40"/>
      <c r="F23" s="40"/>
      <c r="G23" s="40"/>
      <c r="H23" s="41"/>
      <c r="I23" s="41"/>
      <c r="J23" s="41"/>
      <c r="K23" s="41"/>
      <c r="L23" s="41"/>
      <c r="M23" s="41"/>
      <c r="N23" s="41"/>
      <c r="O23" s="41"/>
      <c r="P23" s="42"/>
      <c r="Q23" s="42"/>
      <c r="R23" s="42"/>
      <c r="S23" s="48">
        <v>6944.834153470003</v>
      </c>
      <c r="T23" s="48">
        <v>6944.7814366900038</v>
      </c>
      <c r="U23" s="49">
        <f>+IF(ISERR(T23/S23*100),"N/A",ROUND(T23/S23*100,1))</f>
        <v>100</v>
      </c>
    </row>
    <row r="24" spans="1:22" ht="14.85" customHeight="1" thickTop="1" thickBot="1" x14ac:dyDescent="0.25">
      <c r="B24" s="4" t="s">
        <v>87</v>
      </c>
      <c r="C24" s="5"/>
      <c r="D24" s="5"/>
      <c r="E24" s="5"/>
      <c r="F24" s="5"/>
      <c r="G24" s="5"/>
      <c r="H24" s="6"/>
      <c r="I24" s="6"/>
      <c r="J24" s="6"/>
      <c r="K24" s="6"/>
      <c r="L24" s="6"/>
      <c r="M24" s="6"/>
      <c r="N24" s="6"/>
      <c r="O24" s="6"/>
      <c r="P24" s="6"/>
      <c r="Q24" s="6"/>
      <c r="R24" s="6"/>
      <c r="S24" s="6"/>
      <c r="T24" s="6"/>
      <c r="U24" s="7"/>
    </row>
    <row r="25" spans="1:22" ht="44.25" customHeight="1" thickTop="1" x14ac:dyDescent="0.2">
      <c r="B25" s="89" t="s">
        <v>88</v>
      </c>
      <c r="C25" s="90"/>
      <c r="D25" s="90"/>
      <c r="E25" s="90"/>
      <c r="F25" s="90"/>
      <c r="G25" s="90"/>
      <c r="H25" s="90"/>
      <c r="I25" s="90"/>
      <c r="J25" s="90"/>
      <c r="K25" s="90"/>
      <c r="L25" s="90"/>
      <c r="M25" s="90"/>
      <c r="N25" s="90"/>
      <c r="O25" s="90"/>
      <c r="P25" s="90"/>
      <c r="Q25" s="90"/>
      <c r="R25" s="90"/>
      <c r="S25" s="90"/>
      <c r="T25" s="90"/>
      <c r="U25" s="91"/>
    </row>
    <row r="26" spans="1:22" ht="108" customHeight="1" x14ac:dyDescent="0.2">
      <c r="B26" s="96" t="s">
        <v>89</v>
      </c>
      <c r="C26" s="97"/>
      <c r="D26" s="97"/>
      <c r="E26" s="97"/>
      <c r="F26" s="97"/>
      <c r="G26" s="97"/>
      <c r="H26" s="97"/>
      <c r="I26" s="97"/>
      <c r="J26" s="97"/>
      <c r="K26" s="97"/>
      <c r="L26" s="97"/>
      <c r="M26" s="97"/>
      <c r="N26" s="97"/>
      <c r="O26" s="97"/>
      <c r="P26" s="97"/>
      <c r="Q26" s="97"/>
      <c r="R26" s="97"/>
      <c r="S26" s="97"/>
      <c r="T26" s="97"/>
      <c r="U26" s="98"/>
    </row>
    <row r="27" spans="1:22" ht="260.25" customHeight="1" x14ac:dyDescent="0.2">
      <c r="B27" s="96" t="s">
        <v>90</v>
      </c>
      <c r="C27" s="97"/>
      <c r="D27" s="97"/>
      <c r="E27" s="97"/>
      <c r="F27" s="97"/>
      <c r="G27" s="97"/>
      <c r="H27" s="97"/>
      <c r="I27" s="97"/>
      <c r="J27" s="97"/>
      <c r="K27" s="97"/>
      <c r="L27" s="97"/>
      <c r="M27" s="97"/>
      <c r="N27" s="97"/>
      <c r="O27" s="97"/>
      <c r="P27" s="97"/>
      <c r="Q27" s="97"/>
      <c r="R27" s="97"/>
      <c r="S27" s="97"/>
      <c r="T27" s="97"/>
      <c r="U27" s="98"/>
    </row>
    <row r="28" spans="1:22" ht="93.75" customHeight="1" x14ac:dyDescent="0.2">
      <c r="B28" s="96" t="s">
        <v>91</v>
      </c>
      <c r="C28" s="97"/>
      <c r="D28" s="97"/>
      <c r="E28" s="97"/>
      <c r="F28" s="97"/>
      <c r="G28" s="97"/>
      <c r="H28" s="97"/>
      <c r="I28" s="97"/>
      <c r="J28" s="97"/>
      <c r="K28" s="97"/>
      <c r="L28" s="97"/>
      <c r="M28" s="97"/>
      <c r="N28" s="97"/>
      <c r="O28" s="97"/>
      <c r="P28" s="97"/>
      <c r="Q28" s="97"/>
      <c r="R28" s="97"/>
      <c r="S28" s="97"/>
      <c r="T28" s="97"/>
      <c r="U28" s="98"/>
    </row>
    <row r="29" spans="1:22" ht="83.1" customHeight="1" x14ac:dyDescent="0.2">
      <c r="B29" s="96" t="s">
        <v>92</v>
      </c>
      <c r="C29" s="97"/>
      <c r="D29" s="97"/>
      <c r="E29" s="97"/>
      <c r="F29" s="97"/>
      <c r="G29" s="97"/>
      <c r="H29" s="97"/>
      <c r="I29" s="97"/>
      <c r="J29" s="97"/>
      <c r="K29" s="97"/>
      <c r="L29" s="97"/>
      <c r="M29" s="97"/>
      <c r="N29" s="97"/>
      <c r="O29" s="97"/>
      <c r="P29" s="97"/>
      <c r="Q29" s="97"/>
      <c r="R29" s="97"/>
      <c r="S29" s="97"/>
      <c r="T29" s="97"/>
      <c r="U29" s="98"/>
    </row>
    <row r="30" spans="1:22" ht="121.7" customHeight="1" x14ac:dyDescent="0.2">
      <c r="B30" s="96" t="s">
        <v>93</v>
      </c>
      <c r="C30" s="97"/>
      <c r="D30" s="97"/>
      <c r="E30" s="97"/>
      <c r="F30" s="97"/>
      <c r="G30" s="97"/>
      <c r="H30" s="97"/>
      <c r="I30" s="97"/>
      <c r="J30" s="97"/>
      <c r="K30" s="97"/>
      <c r="L30" s="97"/>
      <c r="M30" s="97"/>
      <c r="N30" s="97"/>
      <c r="O30" s="97"/>
      <c r="P30" s="97"/>
      <c r="Q30" s="97"/>
      <c r="R30" s="97"/>
      <c r="S30" s="97"/>
      <c r="T30" s="97"/>
      <c r="U30" s="98"/>
    </row>
    <row r="31" spans="1:22" ht="101.85" customHeight="1" x14ac:dyDescent="0.2">
      <c r="B31" s="96" t="s">
        <v>94</v>
      </c>
      <c r="C31" s="97"/>
      <c r="D31" s="97"/>
      <c r="E31" s="97"/>
      <c r="F31" s="97"/>
      <c r="G31" s="97"/>
      <c r="H31" s="97"/>
      <c r="I31" s="97"/>
      <c r="J31" s="97"/>
      <c r="K31" s="97"/>
      <c r="L31" s="97"/>
      <c r="M31" s="97"/>
      <c r="N31" s="97"/>
      <c r="O31" s="97"/>
      <c r="P31" s="97"/>
      <c r="Q31" s="97"/>
      <c r="R31" s="97"/>
      <c r="S31" s="97"/>
      <c r="T31" s="97"/>
      <c r="U31" s="98"/>
    </row>
    <row r="32" spans="1:22" ht="70.5" customHeight="1" x14ac:dyDescent="0.2">
      <c r="B32" s="96" t="s">
        <v>95</v>
      </c>
      <c r="C32" s="97"/>
      <c r="D32" s="97"/>
      <c r="E32" s="97"/>
      <c r="F32" s="97"/>
      <c r="G32" s="97"/>
      <c r="H32" s="97"/>
      <c r="I32" s="97"/>
      <c r="J32" s="97"/>
      <c r="K32" s="97"/>
      <c r="L32" s="97"/>
      <c r="M32" s="97"/>
      <c r="N32" s="97"/>
      <c r="O32" s="97"/>
      <c r="P32" s="97"/>
      <c r="Q32" s="97"/>
      <c r="R32" s="97"/>
      <c r="S32" s="97"/>
      <c r="T32" s="97"/>
      <c r="U32" s="98"/>
    </row>
    <row r="33" spans="2:21" ht="57.75" customHeight="1" thickBot="1" x14ac:dyDescent="0.25">
      <c r="B33" s="99" t="s">
        <v>96</v>
      </c>
      <c r="C33" s="100"/>
      <c r="D33" s="100"/>
      <c r="E33" s="100"/>
      <c r="F33" s="100"/>
      <c r="G33" s="100"/>
      <c r="H33" s="100"/>
      <c r="I33" s="100"/>
      <c r="J33" s="100"/>
      <c r="K33" s="100"/>
      <c r="L33" s="100"/>
      <c r="M33" s="100"/>
      <c r="N33" s="100"/>
      <c r="O33" s="100"/>
      <c r="P33" s="100"/>
      <c r="Q33" s="100"/>
      <c r="R33" s="100"/>
      <c r="S33" s="100"/>
      <c r="T33" s="100"/>
      <c r="U33" s="101"/>
    </row>
  </sheetData>
  <mergeCells count="56">
    <mergeCell ref="B32:U32"/>
    <mergeCell ref="B33:U33"/>
    <mergeCell ref="B26:U26"/>
    <mergeCell ref="B27:U27"/>
    <mergeCell ref="B28:U28"/>
    <mergeCell ref="B29:U29"/>
    <mergeCell ref="B30:U30"/>
    <mergeCell ref="B31:U31"/>
    <mergeCell ref="B25:U25"/>
    <mergeCell ref="C16:H16"/>
    <mergeCell ref="I16:K16"/>
    <mergeCell ref="L16:O16"/>
    <mergeCell ref="C17:H17"/>
    <mergeCell ref="I17:K17"/>
    <mergeCell ref="L17:O17"/>
    <mergeCell ref="C18:H18"/>
    <mergeCell ref="I18:K18"/>
    <mergeCell ref="L18:O18"/>
    <mergeCell ref="B22:D22"/>
    <mergeCell ref="B23:D23"/>
    <mergeCell ref="C14:H14"/>
    <mergeCell ref="I14:K14"/>
    <mergeCell ref="L14:O14"/>
    <mergeCell ref="C15:H15"/>
    <mergeCell ref="I15:K15"/>
    <mergeCell ref="L15:O15"/>
    <mergeCell ref="C12:H12"/>
    <mergeCell ref="I12:K12"/>
    <mergeCell ref="L12:O12"/>
    <mergeCell ref="C13:H13"/>
    <mergeCell ref="I13:K13"/>
    <mergeCell ref="L13:O13"/>
    <mergeCell ref="C11:H11"/>
    <mergeCell ref="I11:K11"/>
    <mergeCell ref="L11:O11"/>
    <mergeCell ref="C6:G6"/>
    <mergeCell ref="K6:M6"/>
    <mergeCell ref="P6:Q6"/>
    <mergeCell ref="T6:U6"/>
    <mergeCell ref="B8:B10"/>
    <mergeCell ref="C8:H10"/>
    <mergeCell ref="I8:S8"/>
    <mergeCell ref="T8:U8"/>
    <mergeCell ref="I9:K10"/>
    <mergeCell ref="L9:O10"/>
    <mergeCell ref="P9:P10"/>
    <mergeCell ref="Q9:Q10"/>
    <mergeCell ref="R9:S9"/>
    <mergeCell ref="T9:T10"/>
    <mergeCell ref="U9:U10"/>
    <mergeCell ref="B5:U5"/>
    <mergeCell ref="B1:L1"/>
    <mergeCell ref="D4:H4"/>
    <mergeCell ref="L4:O4"/>
    <mergeCell ref="Q4:R4"/>
    <mergeCell ref="T4:U4"/>
  </mergeCells>
  <printOptions horizontalCentered="1"/>
  <pageMargins left="0.78740157480314965" right="0.78740157480314965" top="0.98425196850393704" bottom="0.98425196850393704" header="0" footer="0.39370078740157483"/>
  <pageSetup scale="61" fitToHeight="10" orientation="landscape" r:id="rId1"/>
  <headerFooter>
    <oddFooter>&amp;R&amp;P de &amp;N</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33"/>
  <sheetViews>
    <sheetView view="pageBreakPreview" topLeftCell="C7" zoomScale="80" zoomScaleNormal="80" zoomScaleSheetLayoutView="80" workbookViewId="0">
      <selection activeCell="T12" sqref="T12:U12"/>
    </sheetView>
  </sheetViews>
  <sheetFormatPr baseColWidth="10" defaultColWidth="10" defaultRowHeight="12.75" x14ac:dyDescent="0.2"/>
  <cols>
    <col min="1" max="1" width="3.5" style="1" customWidth="1"/>
    <col min="2" max="2" width="14.7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9.625" style="1" customWidth="1"/>
    <col min="19" max="19" width="13" style="1" customWidth="1"/>
    <col min="20" max="20" width="10.75" style="1" customWidth="1"/>
    <col min="21" max="21" width="11.37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50" t="s">
        <v>0</v>
      </c>
      <c r="C1" s="50"/>
      <c r="D1" s="50"/>
      <c r="E1" s="50"/>
      <c r="F1" s="50"/>
      <c r="G1" s="50"/>
      <c r="H1" s="50"/>
      <c r="I1" s="50"/>
      <c r="J1" s="50"/>
      <c r="K1" s="50"/>
      <c r="L1" s="50"/>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51.75" customHeight="1" thickTop="1" x14ac:dyDescent="0.2">
      <c r="B4" s="8" t="s">
        <v>6</v>
      </c>
      <c r="C4" s="9" t="s">
        <v>942</v>
      </c>
      <c r="D4" s="57" t="s">
        <v>943</v>
      </c>
      <c r="E4" s="57"/>
      <c r="F4" s="57"/>
      <c r="G4" s="57"/>
      <c r="H4" s="57"/>
      <c r="I4" s="10"/>
      <c r="J4" s="11" t="s">
        <v>9</v>
      </c>
      <c r="K4" s="12" t="s">
        <v>10</v>
      </c>
      <c r="L4" s="58" t="s">
        <v>11</v>
      </c>
      <c r="M4" s="58"/>
      <c r="N4" s="58"/>
      <c r="O4" s="58"/>
      <c r="P4" s="11" t="s">
        <v>12</v>
      </c>
      <c r="Q4" s="58" t="s">
        <v>944</v>
      </c>
      <c r="R4" s="58"/>
      <c r="S4" s="11" t="s">
        <v>14</v>
      </c>
      <c r="T4" s="58"/>
      <c r="U4" s="59"/>
    </row>
    <row r="5" spans="1:21" ht="15.75" customHeight="1" x14ac:dyDescent="0.2">
      <c r="B5" s="54" t="s">
        <v>15</v>
      </c>
      <c r="C5" s="55"/>
      <c r="D5" s="55"/>
      <c r="E5" s="55"/>
      <c r="F5" s="55"/>
      <c r="G5" s="55"/>
      <c r="H5" s="55"/>
      <c r="I5" s="55"/>
      <c r="J5" s="55"/>
      <c r="K5" s="55"/>
      <c r="L5" s="55"/>
      <c r="M5" s="55"/>
      <c r="N5" s="55"/>
      <c r="O5" s="55"/>
      <c r="P5" s="55"/>
      <c r="Q5" s="55"/>
      <c r="R5" s="55"/>
      <c r="S5" s="55"/>
      <c r="T5" s="55"/>
      <c r="U5" s="56"/>
    </row>
    <row r="6" spans="1:21" ht="45.75" customHeight="1" thickBot="1" x14ac:dyDescent="0.25">
      <c r="B6" s="13" t="s">
        <v>16</v>
      </c>
      <c r="C6" s="60" t="s">
        <v>17</v>
      </c>
      <c r="D6" s="60"/>
      <c r="E6" s="60"/>
      <c r="F6" s="60"/>
      <c r="G6" s="60"/>
      <c r="H6" s="14"/>
      <c r="I6" s="14"/>
      <c r="J6" s="14" t="s">
        <v>18</v>
      </c>
      <c r="K6" s="60" t="s">
        <v>189</v>
      </c>
      <c r="L6" s="60"/>
      <c r="M6" s="60"/>
      <c r="N6" s="15"/>
      <c r="O6" s="16" t="s">
        <v>20</v>
      </c>
      <c r="P6" s="60" t="s">
        <v>945</v>
      </c>
      <c r="Q6" s="60"/>
      <c r="R6" s="17"/>
      <c r="S6" s="16" t="s">
        <v>22</v>
      </c>
      <c r="T6" s="60" t="s">
        <v>946</v>
      </c>
      <c r="U6" s="61"/>
    </row>
    <row r="7" spans="1:21" ht="14.25" customHeight="1" thickTop="1" thickBot="1" x14ac:dyDescent="0.25">
      <c r="B7" s="4" t="s">
        <v>24</v>
      </c>
      <c r="C7" s="5"/>
      <c r="D7" s="5"/>
      <c r="E7" s="5"/>
      <c r="F7" s="5"/>
      <c r="G7" s="5"/>
      <c r="H7" s="6"/>
      <c r="I7" s="6"/>
      <c r="J7" s="6"/>
      <c r="K7" s="6"/>
      <c r="L7" s="6"/>
      <c r="M7" s="6"/>
      <c r="N7" s="6"/>
      <c r="O7" s="6"/>
      <c r="P7" s="6"/>
      <c r="Q7" s="6"/>
      <c r="R7" s="6"/>
      <c r="S7" s="6"/>
      <c r="T7" s="6"/>
      <c r="U7" s="7"/>
    </row>
    <row r="8" spans="1:21" ht="16.5" customHeight="1" thickTop="1" x14ac:dyDescent="0.2">
      <c r="B8" s="62" t="s">
        <v>25</v>
      </c>
      <c r="C8" s="65" t="s">
        <v>26</v>
      </c>
      <c r="D8" s="66"/>
      <c r="E8" s="66"/>
      <c r="F8" s="66"/>
      <c r="G8" s="66"/>
      <c r="H8" s="67"/>
      <c r="I8" s="74" t="s">
        <v>27</v>
      </c>
      <c r="J8" s="75"/>
      <c r="K8" s="75"/>
      <c r="L8" s="75"/>
      <c r="M8" s="75"/>
      <c r="N8" s="75"/>
      <c r="O8" s="75"/>
      <c r="P8" s="75"/>
      <c r="Q8" s="75"/>
      <c r="R8" s="75"/>
      <c r="S8" s="76"/>
      <c r="T8" s="77" t="s">
        <v>28</v>
      </c>
      <c r="U8" s="78"/>
    </row>
    <row r="9" spans="1:21" ht="19.5" customHeight="1" x14ac:dyDescent="0.2">
      <c r="B9" s="63"/>
      <c r="C9" s="68"/>
      <c r="D9" s="69"/>
      <c r="E9" s="69"/>
      <c r="F9" s="69"/>
      <c r="G9" s="69"/>
      <c r="H9" s="70"/>
      <c r="I9" s="79" t="s">
        <v>29</v>
      </c>
      <c r="J9" s="80"/>
      <c r="K9" s="80"/>
      <c r="L9" s="80" t="s">
        <v>30</v>
      </c>
      <c r="M9" s="80"/>
      <c r="N9" s="80"/>
      <c r="O9" s="80"/>
      <c r="P9" s="80" t="s">
        <v>31</v>
      </c>
      <c r="Q9" s="80" t="s">
        <v>32</v>
      </c>
      <c r="R9" s="83" t="s">
        <v>33</v>
      </c>
      <c r="S9" s="84"/>
      <c r="T9" s="80" t="s">
        <v>34</v>
      </c>
      <c r="U9" s="85" t="s">
        <v>35</v>
      </c>
    </row>
    <row r="10" spans="1:21" ht="26.25" customHeight="1" thickBot="1" x14ac:dyDescent="0.25">
      <c r="B10" s="64"/>
      <c r="C10" s="71"/>
      <c r="D10" s="72"/>
      <c r="E10" s="72"/>
      <c r="F10" s="72"/>
      <c r="G10" s="72"/>
      <c r="H10" s="73"/>
      <c r="I10" s="81"/>
      <c r="J10" s="82"/>
      <c r="K10" s="82"/>
      <c r="L10" s="82"/>
      <c r="M10" s="82"/>
      <c r="N10" s="82"/>
      <c r="O10" s="82"/>
      <c r="P10" s="82"/>
      <c r="Q10" s="82"/>
      <c r="R10" s="19" t="s">
        <v>36</v>
      </c>
      <c r="S10" s="20" t="s">
        <v>37</v>
      </c>
      <c r="T10" s="82"/>
      <c r="U10" s="86"/>
    </row>
    <row r="11" spans="1:21" ht="75" customHeight="1" thickTop="1" thickBot="1" x14ac:dyDescent="0.25">
      <c r="A11" s="21"/>
      <c r="B11" s="22" t="s">
        <v>38</v>
      </c>
      <c r="C11" s="87" t="s">
        <v>947</v>
      </c>
      <c r="D11" s="87"/>
      <c r="E11" s="87"/>
      <c r="F11" s="87"/>
      <c r="G11" s="87"/>
      <c r="H11" s="87"/>
      <c r="I11" s="87" t="s">
        <v>948</v>
      </c>
      <c r="J11" s="87"/>
      <c r="K11" s="87"/>
      <c r="L11" s="87" t="s">
        <v>949</v>
      </c>
      <c r="M11" s="87"/>
      <c r="N11" s="87"/>
      <c r="O11" s="87"/>
      <c r="P11" s="23" t="s">
        <v>950</v>
      </c>
      <c r="Q11" s="23" t="s">
        <v>43</v>
      </c>
      <c r="R11" s="23">
        <v>30</v>
      </c>
      <c r="S11" s="23">
        <v>30</v>
      </c>
      <c r="T11" s="23">
        <v>0</v>
      </c>
      <c r="U11" s="45">
        <f>0</f>
        <v>0</v>
      </c>
    </row>
    <row r="12" spans="1:21" ht="113.25" customHeight="1" thickTop="1" thickBot="1" x14ac:dyDescent="0.25">
      <c r="A12" s="21"/>
      <c r="B12" s="22" t="s">
        <v>44</v>
      </c>
      <c r="C12" s="87" t="s">
        <v>951</v>
      </c>
      <c r="D12" s="87"/>
      <c r="E12" s="87"/>
      <c r="F12" s="87"/>
      <c r="G12" s="87"/>
      <c r="H12" s="87"/>
      <c r="I12" s="87" t="s">
        <v>952</v>
      </c>
      <c r="J12" s="87"/>
      <c r="K12" s="87"/>
      <c r="L12" s="87" t="s">
        <v>953</v>
      </c>
      <c r="M12" s="87"/>
      <c r="N12" s="87"/>
      <c r="O12" s="87"/>
      <c r="P12" s="23" t="s">
        <v>48</v>
      </c>
      <c r="Q12" s="23" t="s">
        <v>43</v>
      </c>
      <c r="R12" s="23">
        <v>31.43</v>
      </c>
      <c r="S12" s="23">
        <v>31.43</v>
      </c>
      <c r="T12" s="104">
        <v>8.73</v>
      </c>
      <c r="U12" s="105">
        <v>27.77</v>
      </c>
    </row>
    <row r="13" spans="1:21" ht="75" customHeight="1" thickTop="1" x14ac:dyDescent="0.2">
      <c r="A13" s="21"/>
      <c r="B13" s="22" t="s">
        <v>50</v>
      </c>
      <c r="C13" s="87" t="s">
        <v>954</v>
      </c>
      <c r="D13" s="87"/>
      <c r="E13" s="87"/>
      <c r="F13" s="87"/>
      <c r="G13" s="87"/>
      <c r="H13" s="87"/>
      <c r="I13" s="87" t="s">
        <v>955</v>
      </c>
      <c r="J13" s="87"/>
      <c r="K13" s="87"/>
      <c r="L13" s="87" t="s">
        <v>956</v>
      </c>
      <c r="M13" s="87"/>
      <c r="N13" s="87"/>
      <c r="O13" s="87"/>
      <c r="P13" s="23" t="s">
        <v>957</v>
      </c>
      <c r="Q13" s="23" t="s">
        <v>71</v>
      </c>
      <c r="R13" s="23">
        <v>100</v>
      </c>
      <c r="S13" s="23">
        <v>100</v>
      </c>
      <c r="T13" s="23">
        <v>0</v>
      </c>
      <c r="U13" s="45">
        <f>0</f>
        <v>0</v>
      </c>
    </row>
    <row r="14" spans="1:21" ht="75" customHeight="1" x14ac:dyDescent="0.2">
      <c r="A14" s="21"/>
      <c r="B14" s="24" t="s">
        <v>55</v>
      </c>
      <c r="C14" s="88" t="s">
        <v>958</v>
      </c>
      <c r="D14" s="88"/>
      <c r="E14" s="88"/>
      <c r="F14" s="88"/>
      <c r="G14" s="88"/>
      <c r="H14" s="88"/>
      <c r="I14" s="88" t="s">
        <v>959</v>
      </c>
      <c r="J14" s="88"/>
      <c r="K14" s="88"/>
      <c r="L14" s="88" t="s">
        <v>960</v>
      </c>
      <c r="M14" s="88"/>
      <c r="N14" s="88"/>
      <c r="O14" s="88"/>
      <c r="P14" s="25" t="s">
        <v>961</v>
      </c>
      <c r="Q14" s="25" t="s">
        <v>71</v>
      </c>
      <c r="R14" s="25">
        <v>250</v>
      </c>
      <c r="S14" s="25">
        <v>250</v>
      </c>
      <c r="T14" s="25">
        <v>0</v>
      </c>
      <c r="U14" s="46">
        <f>0</f>
        <v>0</v>
      </c>
    </row>
    <row r="15" spans="1:21" ht="75" customHeight="1" x14ac:dyDescent="0.2">
      <c r="A15" s="21"/>
      <c r="B15" s="24" t="s">
        <v>55</v>
      </c>
      <c r="C15" s="88" t="s">
        <v>962</v>
      </c>
      <c r="D15" s="88"/>
      <c r="E15" s="88"/>
      <c r="F15" s="88"/>
      <c r="G15" s="88"/>
      <c r="H15" s="88"/>
      <c r="I15" s="88" t="s">
        <v>963</v>
      </c>
      <c r="J15" s="88"/>
      <c r="K15" s="88"/>
      <c r="L15" s="88" t="s">
        <v>964</v>
      </c>
      <c r="M15" s="88"/>
      <c r="N15" s="88"/>
      <c r="O15" s="88"/>
      <c r="P15" s="25" t="s">
        <v>965</v>
      </c>
      <c r="Q15" s="25" t="s">
        <v>71</v>
      </c>
      <c r="R15" s="25">
        <v>100</v>
      </c>
      <c r="S15" s="25">
        <v>100</v>
      </c>
      <c r="T15" s="25">
        <v>0</v>
      </c>
      <c r="U15" s="46">
        <f>0</f>
        <v>0</v>
      </c>
    </row>
    <row r="16" spans="1:21" ht="75" customHeight="1" thickBot="1" x14ac:dyDescent="0.25">
      <c r="A16" s="21"/>
      <c r="B16" s="24" t="s">
        <v>55</v>
      </c>
      <c r="C16" s="88" t="s">
        <v>966</v>
      </c>
      <c r="D16" s="88"/>
      <c r="E16" s="88"/>
      <c r="F16" s="88"/>
      <c r="G16" s="88"/>
      <c r="H16" s="88"/>
      <c r="I16" s="88" t="s">
        <v>967</v>
      </c>
      <c r="J16" s="88"/>
      <c r="K16" s="88"/>
      <c r="L16" s="88" t="s">
        <v>968</v>
      </c>
      <c r="M16" s="88"/>
      <c r="N16" s="88"/>
      <c r="O16" s="88"/>
      <c r="P16" s="25" t="s">
        <v>957</v>
      </c>
      <c r="Q16" s="25" t="s">
        <v>167</v>
      </c>
      <c r="R16" s="25">
        <v>125</v>
      </c>
      <c r="S16" s="25">
        <v>125</v>
      </c>
      <c r="T16" s="25">
        <v>0</v>
      </c>
      <c r="U16" s="46">
        <f>0</f>
        <v>0</v>
      </c>
    </row>
    <row r="17" spans="1:22" ht="57.75" customHeight="1" thickTop="1" x14ac:dyDescent="0.2">
      <c r="A17" s="21"/>
      <c r="B17" s="22" t="s">
        <v>61</v>
      </c>
      <c r="C17" s="87" t="s">
        <v>969</v>
      </c>
      <c r="D17" s="87"/>
      <c r="E17" s="87"/>
      <c r="F17" s="87"/>
      <c r="G17" s="87"/>
      <c r="H17" s="87"/>
      <c r="I17" s="87" t="s">
        <v>970</v>
      </c>
      <c r="J17" s="87"/>
      <c r="K17" s="87"/>
      <c r="L17" s="87" t="s">
        <v>971</v>
      </c>
      <c r="M17" s="87"/>
      <c r="N17" s="87"/>
      <c r="O17" s="87"/>
      <c r="P17" s="23" t="s">
        <v>972</v>
      </c>
      <c r="Q17" s="23" t="s">
        <v>71</v>
      </c>
      <c r="R17" s="23">
        <v>100</v>
      </c>
      <c r="S17" s="23">
        <v>100</v>
      </c>
      <c r="T17" s="23">
        <v>100</v>
      </c>
      <c r="U17" s="45">
        <f>100</f>
        <v>100</v>
      </c>
    </row>
    <row r="18" spans="1:22" ht="59.25" customHeight="1" thickBot="1" x14ac:dyDescent="0.25">
      <c r="A18" s="21"/>
      <c r="B18" s="24" t="s">
        <v>55</v>
      </c>
      <c r="C18" s="88" t="s">
        <v>973</v>
      </c>
      <c r="D18" s="88"/>
      <c r="E18" s="88"/>
      <c r="F18" s="88"/>
      <c r="G18" s="88"/>
      <c r="H18" s="88"/>
      <c r="I18" s="88" t="s">
        <v>974</v>
      </c>
      <c r="J18" s="88"/>
      <c r="K18" s="88"/>
      <c r="L18" s="88" t="s">
        <v>975</v>
      </c>
      <c r="M18" s="88"/>
      <c r="N18" s="88"/>
      <c r="O18" s="88"/>
      <c r="P18" s="25" t="s">
        <v>976</v>
      </c>
      <c r="Q18" s="25" t="s">
        <v>71</v>
      </c>
      <c r="R18" s="25">
        <v>100</v>
      </c>
      <c r="S18" s="25">
        <v>100</v>
      </c>
      <c r="T18" s="25">
        <v>0</v>
      </c>
      <c r="U18" s="46">
        <f>0</f>
        <v>0</v>
      </c>
    </row>
    <row r="19" spans="1:22" ht="14.25" customHeight="1" thickTop="1" thickBot="1" x14ac:dyDescent="0.25">
      <c r="B19" s="4" t="s">
        <v>80</v>
      </c>
      <c r="C19" s="5"/>
      <c r="D19" s="5"/>
      <c r="E19" s="5"/>
      <c r="F19" s="5"/>
      <c r="G19" s="5"/>
      <c r="H19" s="6"/>
      <c r="I19" s="6"/>
      <c r="J19" s="6"/>
      <c r="K19" s="6"/>
      <c r="L19" s="6"/>
      <c r="M19" s="6"/>
      <c r="N19" s="6"/>
      <c r="O19" s="6"/>
      <c r="P19" s="6"/>
      <c r="Q19" s="6"/>
      <c r="R19" s="6"/>
      <c r="S19" s="6"/>
      <c r="T19" s="6"/>
      <c r="U19" s="7"/>
      <c r="V19" s="26"/>
    </row>
    <row r="20" spans="1:22" ht="26.25" customHeight="1" thickTop="1" x14ac:dyDescent="0.2">
      <c r="B20" s="27"/>
      <c r="C20" s="28"/>
      <c r="D20" s="28"/>
      <c r="E20" s="28"/>
      <c r="F20" s="28"/>
      <c r="G20" s="28"/>
      <c r="H20" s="29"/>
      <c r="I20" s="29"/>
      <c r="J20" s="29"/>
      <c r="K20" s="29"/>
      <c r="L20" s="29"/>
      <c r="M20" s="29"/>
      <c r="N20" s="29"/>
      <c r="O20" s="29"/>
      <c r="P20" s="29"/>
      <c r="Q20" s="29"/>
      <c r="R20" s="30"/>
      <c r="S20" s="31" t="s">
        <v>33</v>
      </c>
      <c r="T20" s="31" t="s">
        <v>81</v>
      </c>
      <c r="U20" s="18" t="s">
        <v>82</v>
      </c>
    </row>
    <row r="21" spans="1:22" ht="26.25" customHeight="1" thickBot="1" x14ac:dyDescent="0.25">
      <c r="B21" s="32"/>
      <c r="C21" s="33"/>
      <c r="D21" s="33"/>
      <c r="E21" s="33"/>
      <c r="F21" s="33"/>
      <c r="G21" s="33"/>
      <c r="H21" s="34"/>
      <c r="I21" s="34"/>
      <c r="J21" s="34"/>
      <c r="K21" s="34"/>
      <c r="L21" s="34"/>
      <c r="M21" s="34"/>
      <c r="N21" s="34"/>
      <c r="O21" s="34"/>
      <c r="P21" s="34"/>
      <c r="Q21" s="34"/>
      <c r="R21" s="34"/>
      <c r="S21" s="35" t="s">
        <v>83</v>
      </c>
      <c r="T21" s="36" t="s">
        <v>83</v>
      </c>
      <c r="U21" s="36" t="s">
        <v>84</v>
      </c>
    </row>
    <row r="22" spans="1:22" ht="13.5" customHeight="1" thickBot="1" x14ac:dyDescent="0.25">
      <c r="B22" s="92" t="s">
        <v>85</v>
      </c>
      <c r="C22" s="93"/>
      <c r="D22" s="93"/>
      <c r="E22" s="37"/>
      <c r="F22" s="37"/>
      <c r="G22" s="37"/>
      <c r="H22" s="38"/>
      <c r="I22" s="38"/>
      <c r="J22" s="38"/>
      <c r="K22" s="38"/>
      <c r="L22" s="38"/>
      <c r="M22" s="38"/>
      <c r="N22" s="38"/>
      <c r="O22" s="38"/>
      <c r="P22" s="39"/>
      <c r="Q22" s="39"/>
      <c r="R22" s="39"/>
      <c r="S22" s="48">
        <v>694.5</v>
      </c>
      <c r="T22" s="48">
        <v>559.88162908999993</v>
      </c>
      <c r="U22" s="49">
        <f>+IF(ISERR(T22/S22*100),"N/A",ROUND(T22/S22*100,1))</f>
        <v>80.599999999999994</v>
      </c>
    </row>
    <row r="23" spans="1:22" ht="13.5" customHeight="1" thickBot="1" x14ac:dyDescent="0.25">
      <c r="B23" s="94" t="s">
        <v>86</v>
      </c>
      <c r="C23" s="95"/>
      <c r="D23" s="95"/>
      <c r="E23" s="40"/>
      <c r="F23" s="40"/>
      <c r="G23" s="40"/>
      <c r="H23" s="41"/>
      <c r="I23" s="41"/>
      <c r="J23" s="41"/>
      <c r="K23" s="41"/>
      <c r="L23" s="41"/>
      <c r="M23" s="41"/>
      <c r="N23" s="41"/>
      <c r="O23" s="41"/>
      <c r="P23" s="42"/>
      <c r="Q23" s="42"/>
      <c r="R23" s="42"/>
      <c r="S23" s="48">
        <v>560.88665144999982</v>
      </c>
      <c r="T23" s="48">
        <v>559.88162908999993</v>
      </c>
      <c r="U23" s="49">
        <f>+IF(ISERR(T23/S23*100),"N/A",ROUND(T23/S23*100,1))</f>
        <v>99.8</v>
      </c>
    </row>
    <row r="24" spans="1:22" ht="14.85" customHeight="1" thickTop="1" thickBot="1" x14ac:dyDescent="0.25">
      <c r="B24" s="4" t="s">
        <v>87</v>
      </c>
      <c r="C24" s="5"/>
      <c r="D24" s="5"/>
      <c r="E24" s="5"/>
      <c r="F24" s="5"/>
      <c r="G24" s="5"/>
      <c r="H24" s="6"/>
      <c r="I24" s="6"/>
      <c r="J24" s="6"/>
      <c r="K24" s="6"/>
      <c r="L24" s="6"/>
      <c r="M24" s="6"/>
      <c r="N24" s="6"/>
      <c r="O24" s="6"/>
      <c r="P24" s="6"/>
      <c r="Q24" s="6"/>
      <c r="R24" s="6"/>
      <c r="S24" s="6"/>
      <c r="T24" s="6"/>
      <c r="U24" s="7"/>
    </row>
    <row r="25" spans="1:22" ht="44.25" customHeight="1" thickTop="1" x14ac:dyDescent="0.2">
      <c r="B25" s="89" t="s">
        <v>88</v>
      </c>
      <c r="C25" s="90"/>
      <c r="D25" s="90"/>
      <c r="E25" s="90"/>
      <c r="F25" s="90"/>
      <c r="G25" s="90"/>
      <c r="H25" s="90"/>
      <c r="I25" s="90"/>
      <c r="J25" s="90"/>
      <c r="K25" s="90"/>
      <c r="L25" s="90"/>
      <c r="M25" s="90"/>
      <c r="N25" s="90"/>
      <c r="O25" s="90"/>
      <c r="P25" s="90"/>
      <c r="Q25" s="90"/>
      <c r="R25" s="90"/>
      <c r="S25" s="90"/>
      <c r="T25" s="90"/>
      <c r="U25" s="91"/>
    </row>
    <row r="26" spans="1:22" ht="159.94999999999999" customHeight="1" x14ac:dyDescent="0.2">
      <c r="B26" s="96" t="s">
        <v>977</v>
      </c>
      <c r="C26" s="97"/>
      <c r="D26" s="97"/>
      <c r="E26" s="97"/>
      <c r="F26" s="97"/>
      <c r="G26" s="97"/>
      <c r="H26" s="97"/>
      <c r="I26" s="97"/>
      <c r="J26" s="97"/>
      <c r="K26" s="97"/>
      <c r="L26" s="97"/>
      <c r="M26" s="97"/>
      <c r="N26" s="97"/>
      <c r="O26" s="97"/>
      <c r="P26" s="97"/>
      <c r="Q26" s="97"/>
      <c r="R26" s="97"/>
      <c r="S26" s="97"/>
      <c r="T26" s="97"/>
      <c r="U26" s="98"/>
    </row>
    <row r="27" spans="1:22" ht="133.35" customHeight="1" x14ac:dyDescent="0.2">
      <c r="B27" s="96" t="s">
        <v>978</v>
      </c>
      <c r="C27" s="97"/>
      <c r="D27" s="97"/>
      <c r="E27" s="97"/>
      <c r="F27" s="97"/>
      <c r="G27" s="97"/>
      <c r="H27" s="97"/>
      <c r="I27" s="97"/>
      <c r="J27" s="97"/>
      <c r="K27" s="97"/>
      <c r="L27" s="97"/>
      <c r="M27" s="97"/>
      <c r="N27" s="97"/>
      <c r="O27" s="97"/>
      <c r="P27" s="97"/>
      <c r="Q27" s="97"/>
      <c r="R27" s="97"/>
      <c r="S27" s="97"/>
      <c r="T27" s="97"/>
      <c r="U27" s="98"/>
    </row>
    <row r="28" spans="1:22" ht="177.75" customHeight="1" x14ac:dyDescent="0.2">
      <c r="B28" s="96" t="s">
        <v>979</v>
      </c>
      <c r="C28" s="97"/>
      <c r="D28" s="97"/>
      <c r="E28" s="97"/>
      <c r="F28" s="97"/>
      <c r="G28" s="97"/>
      <c r="H28" s="97"/>
      <c r="I28" s="97"/>
      <c r="J28" s="97"/>
      <c r="K28" s="97"/>
      <c r="L28" s="97"/>
      <c r="M28" s="97"/>
      <c r="N28" s="97"/>
      <c r="O28" s="97"/>
      <c r="P28" s="97"/>
      <c r="Q28" s="97"/>
      <c r="R28" s="97"/>
      <c r="S28" s="97"/>
      <c r="T28" s="97"/>
      <c r="U28" s="98"/>
    </row>
    <row r="29" spans="1:22" ht="173.1" customHeight="1" x14ac:dyDescent="0.2">
      <c r="B29" s="96" t="s">
        <v>980</v>
      </c>
      <c r="C29" s="97"/>
      <c r="D29" s="97"/>
      <c r="E29" s="97"/>
      <c r="F29" s="97"/>
      <c r="G29" s="97"/>
      <c r="H29" s="97"/>
      <c r="I29" s="97"/>
      <c r="J29" s="97"/>
      <c r="K29" s="97"/>
      <c r="L29" s="97"/>
      <c r="M29" s="97"/>
      <c r="N29" s="97"/>
      <c r="O29" s="97"/>
      <c r="P29" s="97"/>
      <c r="Q29" s="97"/>
      <c r="R29" s="97"/>
      <c r="S29" s="97"/>
      <c r="T29" s="97"/>
      <c r="U29" s="98"/>
    </row>
    <row r="30" spans="1:22" ht="173.1" customHeight="1" x14ac:dyDescent="0.2">
      <c r="B30" s="96" t="s">
        <v>981</v>
      </c>
      <c r="C30" s="97"/>
      <c r="D30" s="97"/>
      <c r="E30" s="97"/>
      <c r="F30" s="97"/>
      <c r="G30" s="97"/>
      <c r="H30" s="97"/>
      <c r="I30" s="97"/>
      <c r="J30" s="97"/>
      <c r="K30" s="97"/>
      <c r="L30" s="97"/>
      <c r="M30" s="97"/>
      <c r="N30" s="97"/>
      <c r="O30" s="97"/>
      <c r="P30" s="97"/>
      <c r="Q30" s="97"/>
      <c r="R30" s="97"/>
      <c r="S30" s="97"/>
      <c r="T30" s="97"/>
      <c r="U30" s="98"/>
    </row>
    <row r="31" spans="1:22" ht="177.6" customHeight="1" x14ac:dyDescent="0.2">
      <c r="B31" s="96" t="s">
        <v>982</v>
      </c>
      <c r="C31" s="97"/>
      <c r="D31" s="97"/>
      <c r="E31" s="97"/>
      <c r="F31" s="97"/>
      <c r="G31" s="97"/>
      <c r="H31" s="97"/>
      <c r="I31" s="97"/>
      <c r="J31" s="97"/>
      <c r="K31" s="97"/>
      <c r="L31" s="97"/>
      <c r="M31" s="97"/>
      <c r="N31" s="97"/>
      <c r="O31" s="97"/>
      <c r="P31" s="97"/>
      <c r="Q31" s="97"/>
      <c r="R31" s="97"/>
      <c r="S31" s="97"/>
      <c r="T31" s="97"/>
      <c r="U31" s="98"/>
    </row>
    <row r="32" spans="1:22" ht="198" customHeight="1" x14ac:dyDescent="0.2">
      <c r="B32" s="96" t="s">
        <v>983</v>
      </c>
      <c r="C32" s="97"/>
      <c r="D32" s="97"/>
      <c r="E32" s="97"/>
      <c r="F32" s="97"/>
      <c r="G32" s="97"/>
      <c r="H32" s="97"/>
      <c r="I32" s="97"/>
      <c r="J32" s="97"/>
      <c r="K32" s="97"/>
      <c r="L32" s="97"/>
      <c r="M32" s="97"/>
      <c r="N32" s="97"/>
      <c r="O32" s="97"/>
      <c r="P32" s="97"/>
      <c r="Q32" s="97"/>
      <c r="R32" s="97"/>
      <c r="S32" s="97"/>
      <c r="T32" s="97"/>
      <c r="U32" s="98"/>
    </row>
    <row r="33" spans="2:21" ht="173.45" customHeight="1" thickBot="1" x14ac:dyDescent="0.25">
      <c r="B33" s="99" t="s">
        <v>984</v>
      </c>
      <c r="C33" s="100"/>
      <c r="D33" s="100"/>
      <c r="E33" s="100"/>
      <c r="F33" s="100"/>
      <c r="G33" s="100"/>
      <c r="H33" s="100"/>
      <c r="I33" s="100"/>
      <c r="J33" s="100"/>
      <c r="K33" s="100"/>
      <c r="L33" s="100"/>
      <c r="M33" s="100"/>
      <c r="N33" s="100"/>
      <c r="O33" s="100"/>
      <c r="P33" s="100"/>
      <c r="Q33" s="100"/>
      <c r="R33" s="100"/>
      <c r="S33" s="100"/>
      <c r="T33" s="100"/>
      <c r="U33" s="101"/>
    </row>
  </sheetData>
  <mergeCells count="56">
    <mergeCell ref="B32:U32"/>
    <mergeCell ref="B33:U33"/>
    <mergeCell ref="B26:U26"/>
    <mergeCell ref="B27:U27"/>
    <mergeCell ref="B28:U28"/>
    <mergeCell ref="B29:U29"/>
    <mergeCell ref="B30:U30"/>
    <mergeCell ref="B31:U31"/>
    <mergeCell ref="B25:U25"/>
    <mergeCell ref="C16:H16"/>
    <mergeCell ref="I16:K16"/>
    <mergeCell ref="L16:O16"/>
    <mergeCell ref="C17:H17"/>
    <mergeCell ref="I17:K17"/>
    <mergeCell ref="L17:O17"/>
    <mergeCell ref="C18:H18"/>
    <mergeCell ref="I18:K18"/>
    <mergeCell ref="L18:O18"/>
    <mergeCell ref="B22:D22"/>
    <mergeCell ref="B23:D23"/>
    <mergeCell ref="C14:H14"/>
    <mergeCell ref="I14:K14"/>
    <mergeCell ref="L14:O14"/>
    <mergeCell ref="C15:H15"/>
    <mergeCell ref="I15:K15"/>
    <mergeCell ref="L15:O15"/>
    <mergeCell ref="C12:H12"/>
    <mergeCell ref="I12:K12"/>
    <mergeCell ref="L12:O12"/>
    <mergeCell ref="C13:H13"/>
    <mergeCell ref="I13:K13"/>
    <mergeCell ref="L13:O13"/>
    <mergeCell ref="C11:H11"/>
    <mergeCell ref="I11:K11"/>
    <mergeCell ref="L11:O11"/>
    <mergeCell ref="C6:G6"/>
    <mergeCell ref="K6:M6"/>
    <mergeCell ref="P6:Q6"/>
    <mergeCell ref="T6:U6"/>
    <mergeCell ref="B8:B10"/>
    <mergeCell ref="C8:H10"/>
    <mergeCell ref="I8:S8"/>
    <mergeCell ref="T8:U8"/>
    <mergeCell ref="I9:K10"/>
    <mergeCell ref="L9:O10"/>
    <mergeCell ref="P9:P10"/>
    <mergeCell ref="Q9:Q10"/>
    <mergeCell ref="R9:S9"/>
    <mergeCell ref="T9:T10"/>
    <mergeCell ref="U9:U10"/>
    <mergeCell ref="B5:U5"/>
    <mergeCell ref="B1:L1"/>
    <mergeCell ref="D4:H4"/>
    <mergeCell ref="L4:O4"/>
    <mergeCell ref="Q4:R4"/>
    <mergeCell ref="T4:U4"/>
  </mergeCells>
  <printOptions horizontalCentered="1"/>
  <pageMargins left="0.78740157480314965" right="0.78740157480314965" top="0.98425196850393704" bottom="0.98425196850393704" header="0" footer="0.39370078740157483"/>
  <pageSetup scale="60" fitToHeight="10" orientation="landscape" r:id="rId1"/>
  <headerFooter>
    <oddFooter>&amp;R&amp;P de &amp;N</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37"/>
  <sheetViews>
    <sheetView view="pageBreakPreview" topLeftCell="G7" zoomScale="80" zoomScaleNormal="80" zoomScaleSheetLayoutView="80" workbookViewId="0">
      <selection activeCell="T12" sqref="T12:U12"/>
    </sheetView>
  </sheetViews>
  <sheetFormatPr baseColWidth="10" defaultColWidth="10" defaultRowHeight="12.75" x14ac:dyDescent="0.2"/>
  <cols>
    <col min="1" max="1" width="3.5" style="1" customWidth="1"/>
    <col min="2" max="2" width="14.7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9.625" style="1" customWidth="1"/>
    <col min="19" max="19" width="13" style="1" customWidth="1"/>
    <col min="20" max="20" width="10.75" style="1" customWidth="1"/>
    <col min="21" max="21" width="11.37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50" t="s">
        <v>0</v>
      </c>
      <c r="C1" s="50"/>
      <c r="D1" s="50"/>
      <c r="E1" s="50"/>
      <c r="F1" s="50"/>
      <c r="G1" s="50"/>
      <c r="H1" s="50"/>
      <c r="I1" s="50"/>
      <c r="J1" s="50"/>
      <c r="K1" s="50"/>
      <c r="L1" s="50"/>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51.75" customHeight="1" thickTop="1" x14ac:dyDescent="0.2">
      <c r="B4" s="8" t="s">
        <v>6</v>
      </c>
      <c r="C4" s="9" t="s">
        <v>985</v>
      </c>
      <c r="D4" s="57" t="s">
        <v>986</v>
      </c>
      <c r="E4" s="57"/>
      <c r="F4" s="57"/>
      <c r="G4" s="57"/>
      <c r="H4" s="57"/>
      <c r="I4" s="10"/>
      <c r="J4" s="11" t="s">
        <v>9</v>
      </c>
      <c r="K4" s="12" t="s">
        <v>10</v>
      </c>
      <c r="L4" s="58" t="s">
        <v>11</v>
      </c>
      <c r="M4" s="58"/>
      <c r="N4" s="58"/>
      <c r="O4" s="58"/>
      <c r="P4" s="11" t="s">
        <v>12</v>
      </c>
      <c r="Q4" s="58" t="s">
        <v>944</v>
      </c>
      <c r="R4" s="58"/>
      <c r="S4" s="11" t="s">
        <v>14</v>
      </c>
      <c r="T4" s="58" t="s">
        <v>465</v>
      </c>
      <c r="U4" s="59"/>
    </row>
    <row r="5" spans="1:21" ht="15.75" customHeight="1" x14ac:dyDescent="0.2">
      <c r="B5" s="54" t="s">
        <v>15</v>
      </c>
      <c r="C5" s="55"/>
      <c r="D5" s="55"/>
      <c r="E5" s="55"/>
      <c r="F5" s="55"/>
      <c r="G5" s="55"/>
      <c r="H5" s="55"/>
      <c r="I5" s="55"/>
      <c r="J5" s="55"/>
      <c r="K5" s="55"/>
      <c r="L5" s="55"/>
      <c r="M5" s="55"/>
      <c r="N5" s="55"/>
      <c r="O5" s="55"/>
      <c r="P5" s="55"/>
      <c r="Q5" s="55"/>
      <c r="R5" s="55"/>
      <c r="S5" s="55"/>
      <c r="T5" s="55"/>
      <c r="U5" s="56"/>
    </row>
    <row r="6" spans="1:21" ht="43.5" customHeight="1" thickBot="1" x14ac:dyDescent="0.25">
      <c r="B6" s="13" t="s">
        <v>16</v>
      </c>
      <c r="C6" s="60" t="s">
        <v>17</v>
      </c>
      <c r="D6" s="60"/>
      <c r="E6" s="60"/>
      <c r="F6" s="60"/>
      <c r="G6" s="60"/>
      <c r="H6" s="14"/>
      <c r="I6" s="14"/>
      <c r="J6" s="14" t="s">
        <v>18</v>
      </c>
      <c r="K6" s="60" t="s">
        <v>189</v>
      </c>
      <c r="L6" s="60"/>
      <c r="M6" s="60"/>
      <c r="N6" s="15"/>
      <c r="O6" s="16" t="s">
        <v>20</v>
      </c>
      <c r="P6" s="60" t="s">
        <v>945</v>
      </c>
      <c r="Q6" s="60"/>
      <c r="R6" s="17"/>
      <c r="S6" s="16" t="s">
        <v>22</v>
      </c>
      <c r="T6" s="60" t="s">
        <v>946</v>
      </c>
      <c r="U6" s="61"/>
    </row>
    <row r="7" spans="1:21" ht="14.25" customHeight="1" thickTop="1" thickBot="1" x14ac:dyDescent="0.25">
      <c r="B7" s="4" t="s">
        <v>24</v>
      </c>
      <c r="C7" s="5"/>
      <c r="D7" s="5"/>
      <c r="E7" s="5"/>
      <c r="F7" s="5"/>
      <c r="G7" s="5"/>
      <c r="H7" s="6"/>
      <c r="I7" s="6"/>
      <c r="J7" s="6"/>
      <c r="K7" s="6"/>
      <c r="L7" s="6"/>
      <c r="M7" s="6"/>
      <c r="N7" s="6"/>
      <c r="O7" s="6"/>
      <c r="P7" s="6"/>
      <c r="Q7" s="6"/>
      <c r="R7" s="6"/>
      <c r="S7" s="6"/>
      <c r="T7" s="6"/>
      <c r="U7" s="7"/>
    </row>
    <row r="8" spans="1:21" ht="16.5" customHeight="1" thickTop="1" x14ac:dyDescent="0.2">
      <c r="B8" s="62" t="s">
        <v>25</v>
      </c>
      <c r="C8" s="65" t="s">
        <v>26</v>
      </c>
      <c r="D8" s="66"/>
      <c r="E8" s="66"/>
      <c r="F8" s="66"/>
      <c r="G8" s="66"/>
      <c r="H8" s="67"/>
      <c r="I8" s="74" t="s">
        <v>27</v>
      </c>
      <c r="J8" s="75"/>
      <c r="K8" s="75"/>
      <c r="L8" s="75"/>
      <c r="M8" s="75"/>
      <c r="N8" s="75"/>
      <c r="O8" s="75"/>
      <c r="P8" s="75"/>
      <c r="Q8" s="75"/>
      <c r="R8" s="75"/>
      <c r="S8" s="76"/>
      <c r="T8" s="77" t="s">
        <v>28</v>
      </c>
      <c r="U8" s="78"/>
    </row>
    <row r="9" spans="1:21" ht="19.5" customHeight="1" x14ac:dyDescent="0.2">
      <c r="B9" s="63"/>
      <c r="C9" s="68"/>
      <c r="D9" s="69"/>
      <c r="E9" s="69"/>
      <c r="F9" s="69"/>
      <c r="G9" s="69"/>
      <c r="H9" s="70"/>
      <c r="I9" s="79" t="s">
        <v>29</v>
      </c>
      <c r="J9" s="80"/>
      <c r="K9" s="80"/>
      <c r="L9" s="80" t="s">
        <v>30</v>
      </c>
      <c r="M9" s="80"/>
      <c r="N9" s="80"/>
      <c r="O9" s="80"/>
      <c r="P9" s="80" t="s">
        <v>31</v>
      </c>
      <c r="Q9" s="80" t="s">
        <v>32</v>
      </c>
      <c r="R9" s="83" t="s">
        <v>33</v>
      </c>
      <c r="S9" s="84"/>
      <c r="T9" s="80" t="s">
        <v>34</v>
      </c>
      <c r="U9" s="85" t="s">
        <v>35</v>
      </c>
    </row>
    <row r="10" spans="1:21" ht="26.25" customHeight="1" thickBot="1" x14ac:dyDescent="0.25">
      <c r="B10" s="64"/>
      <c r="C10" s="71"/>
      <c r="D10" s="72"/>
      <c r="E10" s="72"/>
      <c r="F10" s="72"/>
      <c r="G10" s="72"/>
      <c r="H10" s="73"/>
      <c r="I10" s="81"/>
      <c r="J10" s="82"/>
      <c r="K10" s="82"/>
      <c r="L10" s="82"/>
      <c r="M10" s="82"/>
      <c r="N10" s="82"/>
      <c r="O10" s="82"/>
      <c r="P10" s="82"/>
      <c r="Q10" s="82"/>
      <c r="R10" s="19" t="s">
        <v>36</v>
      </c>
      <c r="S10" s="20" t="s">
        <v>37</v>
      </c>
      <c r="T10" s="82"/>
      <c r="U10" s="86"/>
    </row>
    <row r="11" spans="1:21" ht="75" customHeight="1" thickTop="1" thickBot="1" x14ac:dyDescent="0.25">
      <c r="A11" s="21"/>
      <c r="B11" s="22" t="s">
        <v>38</v>
      </c>
      <c r="C11" s="87" t="s">
        <v>987</v>
      </c>
      <c r="D11" s="87"/>
      <c r="E11" s="87"/>
      <c r="F11" s="87"/>
      <c r="G11" s="87"/>
      <c r="H11" s="87"/>
      <c r="I11" s="87" t="s">
        <v>988</v>
      </c>
      <c r="J11" s="87"/>
      <c r="K11" s="87"/>
      <c r="L11" s="87" t="s">
        <v>989</v>
      </c>
      <c r="M11" s="87"/>
      <c r="N11" s="87"/>
      <c r="O11" s="87"/>
      <c r="P11" s="23" t="s">
        <v>990</v>
      </c>
      <c r="Q11" s="23" t="s">
        <v>43</v>
      </c>
      <c r="R11" s="23">
        <v>100</v>
      </c>
      <c r="S11" s="23">
        <v>100</v>
      </c>
      <c r="T11" s="23">
        <v>184.76</v>
      </c>
      <c r="U11" s="45">
        <f>184.76</f>
        <v>184.76</v>
      </c>
    </row>
    <row r="12" spans="1:21" ht="75" customHeight="1" thickTop="1" thickBot="1" x14ac:dyDescent="0.25">
      <c r="A12" s="21"/>
      <c r="B12" s="22" t="s">
        <v>44</v>
      </c>
      <c r="C12" s="87" t="s">
        <v>991</v>
      </c>
      <c r="D12" s="87"/>
      <c r="E12" s="87"/>
      <c r="F12" s="87"/>
      <c r="G12" s="87"/>
      <c r="H12" s="87"/>
      <c r="I12" s="87" t="s">
        <v>992</v>
      </c>
      <c r="J12" s="87"/>
      <c r="K12" s="87"/>
      <c r="L12" s="87" t="s">
        <v>993</v>
      </c>
      <c r="M12" s="87"/>
      <c r="N12" s="87"/>
      <c r="O12" s="87"/>
      <c r="P12" s="23" t="s">
        <v>994</v>
      </c>
      <c r="Q12" s="23" t="s">
        <v>43</v>
      </c>
      <c r="R12" s="23">
        <v>97.44</v>
      </c>
      <c r="S12" s="23">
        <v>97.44</v>
      </c>
      <c r="T12" s="104">
        <v>100</v>
      </c>
      <c r="U12" s="105">
        <v>102.63</v>
      </c>
    </row>
    <row r="13" spans="1:21" ht="94.5" customHeight="1" thickTop="1" x14ac:dyDescent="0.2">
      <c r="A13" s="21"/>
      <c r="B13" s="22" t="s">
        <v>50</v>
      </c>
      <c r="C13" s="87" t="s">
        <v>995</v>
      </c>
      <c r="D13" s="87"/>
      <c r="E13" s="87"/>
      <c r="F13" s="87"/>
      <c r="G13" s="87"/>
      <c r="H13" s="87"/>
      <c r="I13" s="87" t="s">
        <v>996</v>
      </c>
      <c r="J13" s="87"/>
      <c r="K13" s="87"/>
      <c r="L13" s="87" t="s">
        <v>997</v>
      </c>
      <c r="M13" s="87"/>
      <c r="N13" s="87"/>
      <c r="O13" s="87"/>
      <c r="P13" s="23" t="s">
        <v>998</v>
      </c>
      <c r="Q13" s="23" t="s">
        <v>999</v>
      </c>
      <c r="R13" s="44" t="s">
        <v>177</v>
      </c>
      <c r="S13" s="44">
        <v>5000000</v>
      </c>
      <c r="T13" s="44">
        <v>5881454</v>
      </c>
      <c r="U13" s="45">
        <f>117.63</f>
        <v>117.63</v>
      </c>
    </row>
    <row r="14" spans="1:21" ht="75" customHeight="1" x14ac:dyDescent="0.2">
      <c r="A14" s="21"/>
      <c r="B14" s="24" t="s">
        <v>55</v>
      </c>
      <c r="C14" s="88" t="s">
        <v>1000</v>
      </c>
      <c r="D14" s="88"/>
      <c r="E14" s="88"/>
      <c r="F14" s="88"/>
      <c r="G14" s="88"/>
      <c r="H14" s="88"/>
      <c r="I14" s="88" t="s">
        <v>1001</v>
      </c>
      <c r="J14" s="88"/>
      <c r="K14" s="88"/>
      <c r="L14" s="88" t="s">
        <v>1002</v>
      </c>
      <c r="M14" s="88"/>
      <c r="N14" s="88"/>
      <c r="O14" s="88"/>
      <c r="P14" s="25" t="s">
        <v>1003</v>
      </c>
      <c r="Q14" s="25" t="s">
        <v>535</v>
      </c>
      <c r="R14" s="25">
        <v>4.17</v>
      </c>
      <c r="S14" s="25">
        <v>4.17</v>
      </c>
      <c r="T14" s="25">
        <v>4.17</v>
      </c>
      <c r="U14" s="46">
        <f>100</f>
        <v>100</v>
      </c>
    </row>
    <row r="15" spans="1:21" ht="103.5" customHeight="1" thickBot="1" x14ac:dyDescent="0.25">
      <c r="A15" s="21"/>
      <c r="B15" s="24" t="s">
        <v>55</v>
      </c>
      <c r="C15" s="88" t="s">
        <v>1004</v>
      </c>
      <c r="D15" s="88"/>
      <c r="E15" s="88"/>
      <c r="F15" s="88"/>
      <c r="G15" s="88"/>
      <c r="H15" s="88"/>
      <c r="I15" s="88" t="s">
        <v>1005</v>
      </c>
      <c r="J15" s="88"/>
      <c r="K15" s="88"/>
      <c r="L15" s="88" t="s">
        <v>1006</v>
      </c>
      <c r="M15" s="88"/>
      <c r="N15" s="88"/>
      <c r="O15" s="88"/>
      <c r="P15" s="25" t="s">
        <v>1007</v>
      </c>
      <c r="Q15" s="25" t="s">
        <v>71</v>
      </c>
      <c r="R15" s="25">
        <v>91.43</v>
      </c>
      <c r="S15" s="25">
        <v>91.43</v>
      </c>
      <c r="T15" s="25">
        <v>94.29</v>
      </c>
      <c r="U15" s="46">
        <f>103.13</f>
        <v>103.13</v>
      </c>
    </row>
    <row r="16" spans="1:21" ht="75" customHeight="1" thickTop="1" x14ac:dyDescent="0.2">
      <c r="A16" s="21"/>
      <c r="B16" s="22" t="s">
        <v>61</v>
      </c>
      <c r="C16" s="87" t="s">
        <v>1008</v>
      </c>
      <c r="D16" s="87"/>
      <c r="E16" s="87"/>
      <c r="F16" s="87"/>
      <c r="G16" s="87"/>
      <c r="H16" s="87"/>
      <c r="I16" s="87" t="s">
        <v>1009</v>
      </c>
      <c r="J16" s="87"/>
      <c r="K16" s="87"/>
      <c r="L16" s="87" t="s">
        <v>1010</v>
      </c>
      <c r="M16" s="87"/>
      <c r="N16" s="87"/>
      <c r="O16" s="87"/>
      <c r="P16" s="23" t="s">
        <v>994</v>
      </c>
      <c r="Q16" s="23" t="s">
        <v>71</v>
      </c>
      <c r="R16" s="23">
        <v>45.71</v>
      </c>
      <c r="S16" s="23">
        <v>45.71</v>
      </c>
      <c r="T16" s="23">
        <v>91.43</v>
      </c>
      <c r="U16" s="45">
        <f>200.02</f>
        <v>200.02</v>
      </c>
    </row>
    <row r="17" spans="1:22" ht="100.5" customHeight="1" x14ac:dyDescent="0.2">
      <c r="A17" s="21"/>
      <c r="B17" s="24" t="s">
        <v>55</v>
      </c>
      <c r="C17" s="88" t="s">
        <v>1011</v>
      </c>
      <c r="D17" s="88"/>
      <c r="E17" s="88"/>
      <c r="F17" s="88"/>
      <c r="G17" s="88"/>
      <c r="H17" s="88"/>
      <c r="I17" s="102" t="s">
        <v>1012</v>
      </c>
      <c r="J17" s="88"/>
      <c r="K17" s="88"/>
      <c r="L17" s="88" t="s">
        <v>1013</v>
      </c>
      <c r="M17" s="88"/>
      <c r="N17" s="88"/>
      <c r="O17" s="88"/>
      <c r="P17" s="25" t="s">
        <v>1014</v>
      </c>
      <c r="Q17" s="25" t="s">
        <v>71</v>
      </c>
      <c r="R17" s="25">
        <v>80</v>
      </c>
      <c r="S17" s="25">
        <v>80</v>
      </c>
      <c r="T17" s="25">
        <v>95</v>
      </c>
      <c r="U17" s="46">
        <f>118.75</f>
        <v>118.75</v>
      </c>
    </row>
    <row r="18" spans="1:22" ht="93" customHeight="1" x14ac:dyDescent="0.2">
      <c r="A18" s="21"/>
      <c r="B18" s="24" t="s">
        <v>55</v>
      </c>
      <c r="C18" s="88" t="s">
        <v>1015</v>
      </c>
      <c r="D18" s="88"/>
      <c r="E18" s="88"/>
      <c r="F18" s="88"/>
      <c r="G18" s="88"/>
      <c r="H18" s="88"/>
      <c r="I18" s="88" t="s">
        <v>1016</v>
      </c>
      <c r="J18" s="88"/>
      <c r="K18" s="88"/>
      <c r="L18" s="88" t="s">
        <v>1017</v>
      </c>
      <c r="M18" s="88"/>
      <c r="N18" s="88"/>
      <c r="O18" s="88"/>
      <c r="P18" s="25" t="s">
        <v>1018</v>
      </c>
      <c r="Q18" s="25" t="s">
        <v>71</v>
      </c>
      <c r="R18" s="25">
        <v>90.91</v>
      </c>
      <c r="S18" s="25">
        <v>90.91</v>
      </c>
      <c r="T18" s="25">
        <v>109.09</v>
      </c>
      <c r="U18" s="46">
        <f>120</f>
        <v>120</v>
      </c>
    </row>
    <row r="19" spans="1:22" ht="98.25" customHeight="1" x14ac:dyDescent="0.2">
      <c r="A19" s="21"/>
      <c r="B19" s="24" t="s">
        <v>55</v>
      </c>
      <c r="C19" s="88" t="s">
        <v>1019</v>
      </c>
      <c r="D19" s="88"/>
      <c r="E19" s="88"/>
      <c r="F19" s="88"/>
      <c r="G19" s="88"/>
      <c r="H19" s="88"/>
      <c r="I19" s="88" t="s">
        <v>1020</v>
      </c>
      <c r="J19" s="88"/>
      <c r="K19" s="88"/>
      <c r="L19" s="88" t="s">
        <v>1021</v>
      </c>
      <c r="M19" s="88"/>
      <c r="N19" s="88"/>
      <c r="O19" s="88"/>
      <c r="P19" s="25" t="s">
        <v>961</v>
      </c>
      <c r="Q19" s="25" t="s">
        <v>71</v>
      </c>
      <c r="R19" s="25">
        <v>88.89</v>
      </c>
      <c r="S19" s="25">
        <v>88.89</v>
      </c>
      <c r="T19" s="25">
        <v>94.44</v>
      </c>
      <c r="U19" s="46">
        <f>106.24</f>
        <v>106.24</v>
      </c>
    </row>
    <row r="20" spans="1:22" ht="108" customHeight="1" thickBot="1" x14ac:dyDescent="0.25">
      <c r="A20" s="21"/>
      <c r="B20" s="24" t="s">
        <v>55</v>
      </c>
      <c r="C20" s="88" t="s">
        <v>1022</v>
      </c>
      <c r="D20" s="88"/>
      <c r="E20" s="88"/>
      <c r="F20" s="88"/>
      <c r="G20" s="88"/>
      <c r="H20" s="88"/>
      <c r="I20" s="88" t="s">
        <v>1023</v>
      </c>
      <c r="J20" s="88"/>
      <c r="K20" s="88"/>
      <c r="L20" s="88" t="s">
        <v>1024</v>
      </c>
      <c r="M20" s="88"/>
      <c r="N20" s="88"/>
      <c r="O20" s="88"/>
      <c r="P20" s="25" t="s">
        <v>1025</v>
      </c>
      <c r="Q20" s="25" t="s">
        <v>71</v>
      </c>
      <c r="R20" s="25">
        <v>85.71</v>
      </c>
      <c r="S20" s="25">
        <v>85.71</v>
      </c>
      <c r="T20" s="25">
        <v>94.29</v>
      </c>
      <c r="U20" s="46">
        <f>110.01</f>
        <v>110.01</v>
      </c>
    </row>
    <row r="21" spans="1:22" ht="14.25" customHeight="1" thickTop="1" thickBot="1" x14ac:dyDescent="0.25">
      <c r="B21" s="4" t="s">
        <v>80</v>
      </c>
      <c r="C21" s="5"/>
      <c r="D21" s="5"/>
      <c r="E21" s="5"/>
      <c r="F21" s="5"/>
      <c r="G21" s="5"/>
      <c r="H21" s="6"/>
      <c r="I21" s="6"/>
      <c r="J21" s="6"/>
      <c r="K21" s="6"/>
      <c r="L21" s="6"/>
      <c r="M21" s="6"/>
      <c r="N21" s="6"/>
      <c r="O21" s="6"/>
      <c r="P21" s="6"/>
      <c r="Q21" s="6"/>
      <c r="R21" s="6"/>
      <c r="S21" s="6"/>
      <c r="T21" s="6"/>
      <c r="U21" s="7"/>
      <c r="V21" s="26"/>
    </row>
    <row r="22" spans="1:22" ht="26.25" customHeight="1" thickTop="1" x14ac:dyDescent="0.2">
      <c r="B22" s="27"/>
      <c r="C22" s="28"/>
      <c r="D22" s="28"/>
      <c r="E22" s="28"/>
      <c r="F22" s="28"/>
      <c r="G22" s="28"/>
      <c r="H22" s="29"/>
      <c r="I22" s="29"/>
      <c r="J22" s="29"/>
      <c r="K22" s="29"/>
      <c r="L22" s="29"/>
      <c r="M22" s="29"/>
      <c r="N22" s="29"/>
      <c r="O22" s="29"/>
      <c r="P22" s="29"/>
      <c r="Q22" s="29"/>
      <c r="R22" s="30"/>
      <c r="S22" s="31" t="s">
        <v>33</v>
      </c>
      <c r="T22" s="31" t="s">
        <v>81</v>
      </c>
      <c r="U22" s="18" t="s">
        <v>82</v>
      </c>
    </row>
    <row r="23" spans="1:22" ht="26.25" customHeight="1" thickBot="1" x14ac:dyDescent="0.25">
      <c r="B23" s="32"/>
      <c r="C23" s="33"/>
      <c r="D23" s="33"/>
      <c r="E23" s="33"/>
      <c r="F23" s="33"/>
      <c r="G23" s="33"/>
      <c r="H23" s="34"/>
      <c r="I23" s="34"/>
      <c r="J23" s="34"/>
      <c r="K23" s="34"/>
      <c r="L23" s="34"/>
      <c r="M23" s="34"/>
      <c r="N23" s="34"/>
      <c r="O23" s="34"/>
      <c r="P23" s="34"/>
      <c r="Q23" s="34"/>
      <c r="R23" s="34"/>
      <c r="S23" s="35" t="s">
        <v>83</v>
      </c>
      <c r="T23" s="36" t="s">
        <v>83</v>
      </c>
      <c r="U23" s="36" t="s">
        <v>84</v>
      </c>
    </row>
    <row r="24" spans="1:22" ht="13.5" customHeight="1" thickBot="1" x14ac:dyDescent="0.25">
      <c r="B24" s="92" t="s">
        <v>85</v>
      </c>
      <c r="C24" s="93"/>
      <c r="D24" s="93"/>
      <c r="E24" s="37"/>
      <c r="F24" s="37"/>
      <c r="G24" s="37"/>
      <c r="H24" s="38"/>
      <c r="I24" s="38"/>
      <c r="J24" s="38"/>
      <c r="K24" s="38"/>
      <c r="L24" s="38"/>
      <c r="M24" s="38"/>
      <c r="N24" s="38"/>
      <c r="O24" s="38"/>
      <c r="P24" s="39"/>
      <c r="Q24" s="39"/>
      <c r="R24" s="39"/>
      <c r="S24" s="48">
        <v>5038.0148570000001</v>
      </c>
      <c r="T24" s="48">
        <v>3792.62</v>
      </c>
      <c r="U24" s="49">
        <f>+IF(ISERR(T24/S24*100),"N/A",ROUND(T24/S24*100,1))</f>
        <v>75.3</v>
      </c>
    </row>
    <row r="25" spans="1:22" ht="13.5" customHeight="1" thickBot="1" x14ac:dyDescent="0.25">
      <c r="B25" s="94" t="s">
        <v>86</v>
      </c>
      <c r="C25" s="95"/>
      <c r="D25" s="95"/>
      <c r="E25" s="40"/>
      <c r="F25" s="40"/>
      <c r="G25" s="40"/>
      <c r="H25" s="41"/>
      <c r="I25" s="41"/>
      <c r="J25" s="41"/>
      <c r="K25" s="41"/>
      <c r="L25" s="41"/>
      <c r="M25" s="41"/>
      <c r="N25" s="41"/>
      <c r="O25" s="41"/>
      <c r="P25" s="42"/>
      <c r="Q25" s="42"/>
      <c r="R25" s="42"/>
      <c r="S25" s="48">
        <v>3792.8610293399997</v>
      </c>
      <c r="T25" s="48">
        <v>3792.62</v>
      </c>
      <c r="U25" s="49">
        <f>+IF(ISERR(T25/S25*100),"N/A",ROUND(T25/S25*100,1))</f>
        <v>100</v>
      </c>
    </row>
    <row r="26" spans="1:22" ht="14.85" customHeight="1" thickTop="1" thickBot="1" x14ac:dyDescent="0.25">
      <c r="B26" s="4" t="s">
        <v>87</v>
      </c>
      <c r="C26" s="5"/>
      <c r="D26" s="5"/>
      <c r="E26" s="5"/>
      <c r="F26" s="5"/>
      <c r="G26" s="5"/>
      <c r="H26" s="6"/>
      <c r="I26" s="6"/>
      <c r="J26" s="6"/>
      <c r="K26" s="6"/>
      <c r="L26" s="6"/>
      <c r="M26" s="6"/>
      <c r="N26" s="6"/>
      <c r="O26" s="6"/>
      <c r="P26" s="6"/>
      <c r="Q26" s="6"/>
      <c r="R26" s="6"/>
      <c r="S26" s="6"/>
      <c r="T26" s="6"/>
      <c r="U26" s="7"/>
    </row>
    <row r="27" spans="1:22" ht="44.25" customHeight="1" thickTop="1" x14ac:dyDescent="0.2">
      <c r="B27" s="89" t="s">
        <v>88</v>
      </c>
      <c r="C27" s="90"/>
      <c r="D27" s="90"/>
      <c r="E27" s="90"/>
      <c r="F27" s="90"/>
      <c r="G27" s="90"/>
      <c r="H27" s="90"/>
      <c r="I27" s="90"/>
      <c r="J27" s="90"/>
      <c r="K27" s="90"/>
      <c r="L27" s="90"/>
      <c r="M27" s="90"/>
      <c r="N27" s="90"/>
      <c r="O27" s="90"/>
      <c r="P27" s="90"/>
      <c r="Q27" s="90"/>
      <c r="R27" s="90"/>
      <c r="S27" s="90"/>
      <c r="T27" s="90"/>
      <c r="U27" s="91"/>
    </row>
    <row r="28" spans="1:22" ht="185.85" customHeight="1" x14ac:dyDescent="0.2">
      <c r="B28" s="96" t="s">
        <v>1026</v>
      </c>
      <c r="C28" s="97"/>
      <c r="D28" s="97"/>
      <c r="E28" s="97"/>
      <c r="F28" s="97"/>
      <c r="G28" s="97"/>
      <c r="H28" s="97"/>
      <c r="I28" s="97"/>
      <c r="J28" s="97"/>
      <c r="K28" s="97"/>
      <c r="L28" s="97"/>
      <c r="M28" s="97"/>
      <c r="N28" s="97"/>
      <c r="O28" s="97"/>
      <c r="P28" s="97"/>
      <c r="Q28" s="97"/>
      <c r="R28" s="97"/>
      <c r="S28" s="97"/>
      <c r="T28" s="97"/>
      <c r="U28" s="98"/>
    </row>
    <row r="29" spans="1:22" ht="184.5" customHeight="1" x14ac:dyDescent="0.2">
      <c r="B29" s="96" t="s">
        <v>1027</v>
      </c>
      <c r="C29" s="97"/>
      <c r="D29" s="97"/>
      <c r="E29" s="97"/>
      <c r="F29" s="97"/>
      <c r="G29" s="97"/>
      <c r="H29" s="97"/>
      <c r="I29" s="97"/>
      <c r="J29" s="97"/>
      <c r="K29" s="97"/>
      <c r="L29" s="97"/>
      <c r="M29" s="97"/>
      <c r="N29" s="97"/>
      <c r="O29" s="97"/>
      <c r="P29" s="97"/>
      <c r="Q29" s="97"/>
      <c r="R29" s="97"/>
      <c r="S29" s="97"/>
      <c r="T29" s="97"/>
      <c r="U29" s="98"/>
    </row>
    <row r="30" spans="1:22" ht="189.2" customHeight="1" x14ac:dyDescent="0.2">
      <c r="B30" s="96" t="s">
        <v>1028</v>
      </c>
      <c r="C30" s="97"/>
      <c r="D30" s="97"/>
      <c r="E30" s="97"/>
      <c r="F30" s="97"/>
      <c r="G30" s="97"/>
      <c r="H30" s="97"/>
      <c r="I30" s="97"/>
      <c r="J30" s="97"/>
      <c r="K30" s="97"/>
      <c r="L30" s="97"/>
      <c r="M30" s="97"/>
      <c r="N30" s="97"/>
      <c r="O30" s="97"/>
      <c r="P30" s="97"/>
      <c r="Q30" s="97"/>
      <c r="R30" s="97"/>
      <c r="S30" s="97"/>
      <c r="T30" s="97"/>
      <c r="U30" s="98"/>
    </row>
    <row r="31" spans="1:22" ht="223.5" customHeight="1" x14ac:dyDescent="0.2">
      <c r="B31" s="96" t="s">
        <v>1029</v>
      </c>
      <c r="C31" s="97"/>
      <c r="D31" s="97"/>
      <c r="E31" s="97"/>
      <c r="F31" s="97"/>
      <c r="G31" s="97"/>
      <c r="H31" s="97"/>
      <c r="I31" s="97"/>
      <c r="J31" s="97"/>
      <c r="K31" s="97"/>
      <c r="L31" s="97"/>
      <c r="M31" s="97"/>
      <c r="N31" s="97"/>
      <c r="O31" s="97"/>
      <c r="P31" s="97"/>
      <c r="Q31" s="97"/>
      <c r="R31" s="97"/>
      <c r="S31" s="97"/>
      <c r="T31" s="97"/>
      <c r="U31" s="98"/>
    </row>
    <row r="32" spans="1:22" ht="78" customHeight="1" x14ac:dyDescent="0.2">
      <c r="B32" s="96" t="s">
        <v>1030</v>
      </c>
      <c r="C32" s="97"/>
      <c r="D32" s="97"/>
      <c r="E32" s="97"/>
      <c r="F32" s="97"/>
      <c r="G32" s="97"/>
      <c r="H32" s="97"/>
      <c r="I32" s="97"/>
      <c r="J32" s="97"/>
      <c r="K32" s="97"/>
      <c r="L32" s="97"/>
      <c r="M32" s="97"/>
      <c r="N32" s="97"/>
      <c r="O32" s="97"/>
      <c r="P32" s="97"/>
      <c r="Q32" s="97"/>
      <c r="R32" s="97"/>
      <c r="S32" s="97"/>
      <c r="T32" s="97"/>
      <c r="U32" s="98"/>
    </row>
    <row r="33" spans="2:21" ht="97.7" customHeight="1" x14ac:dyDescent="0.2">
      <c r="B33" s="96" t="s">
        <v>1031</v>
      </c>
      <c r="C33" s="97"/>
      <c r="D33" s="97"/>
      <c r="E33" s="97"/>
      <c r="F33" s="97"/>
      <c r="G33" s="97"/>
      <c r="H33" s="97"/>
      <c r="I33" s="97"/>
      <c r="J33" s="97"/>
      <c r="K33" s="97"/>
      <c r="L33" s="97"/>
      <c r="M33" s="97"/>
      <c r="N33" s="97"/>
      <c r="O33" s="97"/>
      <c r="P33" s="97"/>
      <c r="Q33" s="97"/>
      <c r="R33" s="97"/>
      <c r="S33" s="97"/>
      <c r="T33" s="97"/>
      <c r="U33" s="98"/>
    </row>
    <row r="34" spans="2:21" ht="174.75" customHeight="1" x14ac:dyDescent="0.2">
      <c r="B34" s="96" t="s">
        <v>1032</v>
      </c>
      <c r="C34" s="97"/>
      <c r="D34" s="97"/>
      <c r="E34" s="97"/>
      <c r="F34" s="97"/>
      <c r="G34" s="97"/>
      <c r="H34" s="97"/>
      <c r="I34" s="97"/>
      <c r="J34" s="97"/>
      <c r="K34" s="97"/>
      <c r="L34" s="97"/>
      <c r="M34" s="97"/>
      <c r="N34" s="97"/>
      <c r="O34" s="97"/>
      <c r="P34" s="97"/>
      <c r="Q34" s="97"/>
      <c r="R34" s="97"/>
      <c r="S34" s="97"/>
      <c r="T34" s="97"/>
      <c r="U34" s="98"/>
    </row>
    <row r="35" spans="2:21" ht="177" customHeight="1" x14ac:dyDescent="0.2">
      <c r="B35" s="96" t="s">
        <v>1033</v>
      </c>
      <c r="C35" s="97"/>
      <c r="D35" s="97"/>
      <c r="E35" s="97"/>
      <c r="F35" s="97"/>
      <c r="G35" s="97"/>
      <c r="H35" s="97"/>
      <c r="I35" s="97"/>
      <c r="J35" s="97"/>
      <c r="K35" s="97"/>
      <c r="L35" s="97"/>
      <c r="M35" s="97"/>
      <c r="N35" s="97"/>
      <c r="O35" s="97"/>
      <c r="P35" s="97"/>
      <c r="Q35" s="97"/>
      <c r="R35" s="97"/>
      <c r="S35" s="97"/>
      <c r="T35" s="97"/>
      <c r="U35" s="98"/>
    </row>
    <row r="36" spans="2:21" ht="117" customHeight="1" x14ac:dyDescent="0.2">
      <c r="B36" s="96" t="s">
        <v>1034</v>
      </c>
      <c r="C36" s="97"/>
      <c r="D36" s="97"/>
      <c r="E36" s="97"/>
      <c r="F36" s="97"/>
      <c r="G36" s="97"/>
      <c r="H36" s="97"/>
      <c r="I36" s="97"/>
      <c r="J36" s="97"/>
      <c r="K36" s="97"/>
      <c r="L36" s="97"/>
      <c r="M36" s="97"/>
      <c r="N36" s="97"/>
      <c r="O36" s="97"/>
      <c r="P36" s="97"/>
      <c r="Q36" s="97"/>
      <c r="R36" s="97"/>
      <c r="S36" s="97"/>
      <c r="T36" s="97"/>
      <c r="U36" s="98"/>
    </row>
    <row r="37" spans="2:21" ht="77.25" customHeight="1" thickBot="1" x14ac:dyDescent="0.25">
      <c r="B37" s="99" t="s">
        <v>1035</v>
      </c>
      <c r="C37" s="100"/>
      <c r="D37" s="100"/>
      <c r="E37" s="100"/>
      <c r="F37" s="100"/>
      <c r="G37" s="100"/>
      <c r="H37" s="100"/>
      <c r="I37" s="100"/>
      <c r="J37" s="100"/>
      <c r="K37" s="100"/>
      <c r="L37" s="100"/>
      <c r="M37" s="100"/>
      <c r="N37" s="100"/>
      <c r="O37" s="100"/>
      <c r="P37" s="100"/>
      <c r="Q37" s="100"/>
      <c r="R37" s="100"/>
      <c r="S37" s="100"/>
      <c r="T37" s="100"/>
      <c r="U37" s="101"/>
    </row>
  </sheetData>
  <mergeCells count="64">
    <mergeCell ref="B34:U34"/>
    <mergeCell ref="B35:U35"/>
    <mergeCell ref="B36:U36"/>
    <mergeCell ref="B37:U37"/>
    <mergeCell ref="B28:U28"/>
    <mergeCell ref="B29:U29"/>
    <mergeCell ref="B30:U30"/>
    <mergeCell ref="B31:U31"/>
    <mergeCell ref="B32:U32"/>
    <mergeCell ref="B33:U33"/>
    <mergeCell ref="B27:U27"/>
    <mergeCell ref="C18:H18"/>
    <mergeCell ref="I18:K18"/>
    <mergeCell ref="L18:O18"/>
    <mergeCell ref="C19:H19"/>
    <mergeCell ref="I19:K19"/>
    <mergeCell ref="L19:O19"/>
    <mergeCell ref="C20:H20"/>
    <mergeCell ref="I20:K20"/>
    <mergeCell ref="L20:O20"/>
    <mergeCell ref="B24:D24"/>
    <mergeCell ref="B25:D25"/>
    <mergeCell ref="C16:H16"/>
    <mergeCell ref="I16:K16"/>
    <mergeCell ref="L16:O16"/>
    <mergeCell ref="C17:H17"/>
    <mergeCell ref="I17:K17"/>
    <mergeCell ref="L17:O17"/>
    <mergeCell ref="C14:H14"/>
    <mergeCell ref="I14:K14"/>
    <mergeCell ref="L14:O14"/>
    <mergeCell ref="C15:H15"/>
    <mergeCell ref="I15:K15"/>
    <mergeCell ref="L15:O15"/>
    <mergeCell ref="C12:H12"/>
    <mergeCell ref="I12:K12"/>
    <mergeCell ref="L12:O12"/>
    <mergeCell ref="C13:H13"/>
    <mergeCell ref="I13:K13"/>
    <mergeCell ref="L13:O13"/>
    <mergeCell ref="C11:H11"/>
    <mergeCell ref="I11:K11"/>
    <mergeCell ref="L11:O11"/>
    <mergeCell ref="C6:G6"/>
    <mergeCell ref="K6:M6"/>
    <mergeCell ref="P6:Q6"/>
    <mergeCell ref="T6:U6"/>
    <mergeCell ref="B8:B10"/>
    <mergeCell ref="C8:H10"/>
    <mergeCell ref="I8:S8"/>
    <mergeCell ref="T8:U8"/>
    <mergeCell ref="I9:K10"/>
    <mergeCell ref="L9:O10"/>
    <mergeCell ref="P9:P10"/>
    <mergeCell ref="Q9:Q10"/>
    <mergeCell ref="R9:S9"/>
    <mergeCell ref="T9:T10"/>
    <mergeCell ref="U9:U10"/>
    <mergeCell ref="B5:U5"/>
    <mergeCell ref="B1:L1"/>
    <mergeCell ref="D4:H4"/>
    <mergeCell ref="L4:O4"/>
    <mergeCell ref="Q4:R4"/>
    <mergeCell ref="T4:U4"/>
  </mergeCells>
  <printOptions horizontalCentered="1"/>
  <pageMargins left="0.78740157480314965" right="0.78740157480314965" top="0.98425196850393704" bottom="0.98425196850393704" header="0" footer="0.39370078740157483"/>
  <pageSetup scale="60" fitToHeight="10" orientation="landscape" r:id="rId1"/>
  <headerFooter>
    <oddFooter>&amp;R&amp;P de &amp;N</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37"/>
  <sheetViews>
    <sheetView view="pageBreakPreview" topLeftCell="A16" zoomScale="80" zoomScaleNormal="80" zoomScaleSheetLayoutView="80" workbookViewId="0">
      <selection activeCell="R14" sqref="R14:U14"/>
    </sheetView>
  </sheetViews>
  <sheetFormatPr baseColWidth="10" defaultColWidth="10" defaultRowHeight="12.75" x14ac:dyDescent="0.2"/>
  <cols>
    <col min="1" max="1" width="3.5" style="1" customWidth="1"/>
    <col min="2" max="2" width="14.7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9.625" style="1" customWidth="1"/>
    <col min="19" max="19" width="13" style="1" customWidth="1"/>
    <col min="20" max="20" width="10.75" style="1" customWidth="1"/>
    <col min="21" max="21" width="11.37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50" t="s">
        <v>0</v>
      </c>
      <c r="C1" s="50"/>
      <c r="D1" s="50"/>
      <c r="E1" s="50"/>
      <c r="F1" s="50"/>
      <c r="G1" s="50"/>
      <c r="H1" s="50"/>
      <c r="I1" s="50"/>
      <c r="J1" s="50"/>
      <c r="K1" s="50"/>
      <c r="L1" s="50"/>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51.75" customHeight="1" thickTop="1" x14ac:dyDescent="0.2">
      <c r="B4" s="8" t="s">
        <v>6</v>
      </c>
      <c r="C4" s="9" t="s">
        <v>1036</v>
      </c>
      <c r="D4" s="57" t="s">
        <v>1037</v>
      </c>
      <c r="E4" s="57"/>
      <c r="F4" s="57"/>
      <c r="G4" s="57"/>
      <c r="H4" s="57"/>
      <c r="I4" s="10"/>
      <c r="J4" s="11" t="s">
        <v>9</v>
      </c>
      <c r="K4" s="12" t="s">
        <v>10</v>
      </c>
      <c r="L4" s="58" t="s">
        <v>11</v>
      </c>
      <c r="M4" s="58"/>
      <c r="N4" s="58"/>
      <c r="O4" s="58"/>
      <c r="P4" s="11" t="s">
        <v>12</v>
      </c>
      <c r="Q4" s="58" t="s">
        <v>944</v>
      </c>
      <c r="R4" s="58"/>
      <c r="S4" s="11" t="s">
        <v>14</v>
      </c>
      <c r="T4" s="58" t="s">
        <v>465</v>
      </c>
      <c r="U4" s="59"/>
    </row>
    <row r="5" spans="1:21" ht="15.75" customHeight="1" x14ac:dyDescent="0.2">
      <c r="B5" s="54" t="s">
        <v>15</v>
      </c>
      <c r="C5" s="55"/>
      <c r="D5" s="55"/>
      <c r="E5" s="55"/>
      <c r="F5" s="55"/>
      <c r="G5" s="55"/>
      <c r="H5" s="55"/>
      <c r="I5" s="55"/>
      <c r="J5" s="55"/>
      <c r="K5" s="55"/>
      <c r="L5" s="55"/>
      <c r="M5" s="55"/>
      <c r="N5" s="55"/>
      <c r="O5" s="55"/>
      <c r="P5" s="55"/>
      <c r="Q5" s="55"/>
      <c r="R5" s="55"/>
      <c r="S5" s="55"/>
      <c r="T5" s="55"/>
      <c r="U5" s="56"/>
    </row>
    <row r="6" spans="1:21" ht="45" customHeight="1" thickBot="1" x14ac:dyDescent="0.25">
      <c r="B6" s="13" t="s">
        <v>16</v>
      </c>
      <c r="C6" s="60" t="s">
        <v>17</v>
      </c>
      <c r="D6" s="60"/>
      <c r="E6" s="60"/>
      <c r="F6" s="60"/>
      <c r="G6" s="60"/>
      <c r="H6" s="14"/>
      <c r="I6" s="14"/>
      <c r="J6" s="14" t="s">
        <v>18</v>
      </c>
      <c r="K6" s="60" t="s">
        <v>189</v>
      </c>
      <c r="L6" s="60"/>
      <c r="M6" s="60"/>
      <c r="N6" s="15"/>
      <c r="O6" s="16" t="s">
        <v>20</v>
      </c>
      <c r="P6" s="60" t="s">
        <v>945</v>
      </c>
      <c r="Q6" s="60"/>
      <c r="R6" s="17"/>
      <c r="S6" s="16" t="s">
        <v>22</v>
      </c>
      <c r="T6" s="60" t="s">
        <v>946</v>
      </c>
      <c r="U6" s="61"/>
    </row>
    <row r="7" spans="1:21" ht="14.25" customHeight="1" thickTop="1" thickBot="1" x14ac:dyDescent="0.25">
      <c r="B7" s="4" t="s">
        <v>24</v>
      </c>
      <c r="C7" s="5"/>
      <c r="D7" s="5"/>
      <c r="E7" s="5"/>
      <c r="F7" s="5"/>
      <c r="G7" s="5"/>
      <c r="H7" s="6"/>
      <c r="I7" s="6"/>
      <c r="J7" s="6"/>
      <c r="K7" s="6"/>
      <c r="L7" s="6"/>
      <c r="M7" s="6"/>
      <c r="N7" s="6"/>
      <c r="O7" s="6"/>
      <c r="P7" s="6"/>
      <c r="Q7" s="6"/>
      <c r="R7" s="6"/>
      <c r="S7" s="6"/>
      <c r="T7" s="6"/>
      <c r="U7" s="7"/>
    </row>
    <row r="8" spans="1:21" ht="16.5" customHeight="1" thickTop="1" x14ac:dyDescent="0.2">
      <c r="B8" s="62" t="s">
        <v>25</v>
      </c>
      <c r="C8" s="65" t="s">
        <v>26</v>
      </c>
      <c r="D8" s="66"/>
      <c r="E8" s="66"/>
      <c r="F8" s="66"/>
      <c r="G8" s="66"/>
      <c r="H8" s="67"/>
      <c r="I8" s="74" t="s">
        <v>27</v>
      </c>
      <c r="J8" s="75"/>
      <c r="K8" s="75"/>
      <c r="L8" s="75"/>
      <c r="M8" s="75"/>
      <c r="N8" s="75"/>
      <c r="O8" s="75"/>
      <c r="P8" s="75"/>
      <c r="Q8" s="75"/>
      <c r="R8" s="75"/>
      <c r="S8" s="76"/>
      <c r="T8" s="77" t="s">
        <v>28</v>
      </c>
      <c r="U8" s="78"/>
    </row>
    <row r="9" spans="1:21" ht="19.5" customHeight="1" x14ac:dyDescent="0.2">
      <c r="B9" s="63"/>
      <c r="C9" s="68"/>
      <c r="D9" s="69"/>
      <c r="E9" s="69"/>
      <c r="F9" s="69"/>
      <c r="G9" s="69"/>
      <c r="H9" s="70"/>
      <c r="I9" s="79" t="s">
        <v>29</v>
      </c>
      <c r="J9" s="80"/>
      <c r="K9" s="80"/>
      <c r="L9" s="80" t="s">
        <v>30</v>
      </c>
      <c r="M9" s="80"/>
      <c r="N9" s="80"/>
      <c r="O9" s="80"/>
      <c r="P9" s="80" t="s">
        <v>31</v>
      </c>
      <c r="Q9" s="80" t="s">
        <v>32</v>
      </c>
      <c r="R9" s="83" t="s">
        <v>33</v>
      </c>
      <c r="S9" s="84"/>
      <c r="T9" s="80" t="s">
        <v>34</v>
      </c>
      <c r="U9" s="85" t="s">
        <v>35</v>
      </c>
    </row>
    <row r="10" spans="1:21" ht="26.25" customHeight="1" thickBot="1" x14ac:dyDescent="0.25">
      <c r="B10" s="64"/>
      <c r="C10" s="71"/>
      <c r="D10" s="72"/>
      <c r="E10" s="72"/>
      <c r="F10" s="72"/>
      <c r="G10" s="72"/>
      <c r="H10" s="73"/>
      <c r="I10" s="81"/>
      <c r="J10" s="82"/>
      <c r="K10" s="82"/>
      <c r="L10" s="82"/>
      <c r="M10" s="82"/>
      <c r="N10" s="82"/>
      <c r="O10" s="82"/>
      <c r="P10" s="82"/>
      <c r="Q10" s="82"/>
      <c r="R10" s="19" t="s">
        <v>36</v>
      </c>
      <c r="S10" s="20" t="s">
        <v>37</v>
      </c>
      <c r="T10" s="82"/>
      <c r="U10" s="86"/>
    </row>
    <row r="11" spans="1:21" ht="104.25" customHeight="1" thickTop="1" thickBot="1" x14ac:dyDescent="0.25">
      <c r="A11" s="21"/>
      <c r="B11" s="22" t="s">
        <v>38</v>
      </c>
      <c r="C11" s="87" t="s">
        <v>1038</v>
      </c>
      <c r="D11" s="87"/>
      <c r="E11" s="87"/>
      <c r="F11" s="87"/>
      <c r="G11" s="87"/>
      <c r="H11" s="87"/>
      <c r="I11" s="87" t="s">
        <v>1039</v>
      </c>
      <c r="J11" s="87"/>
      <c r="K11" s="87"/>
      <c r="L11" s="87" t="s">
        <v>1040</v>
      </c>
      <c r="M11" s="87"/>
      <c r="N11" s="87"/>
      <c r="O11" s="87"/>
      <c r="P11" s="23" t="s">
        <v>1041</v>
      </c>
      <c r="Q11" s="23" t="s">
        <v>43</v>
      </c>
      <c r="R11" s="44">
        <v>9</v>
      </c>
      <c r="S11" s="44">
        <v>9</v>
      </c>
      <c r="T11" s="44">
        <v>0</v>
      </c>
      <c r="U11" s="45">
        <v>0</v>
      </c>
    </row>
    <row r="12" spans="1:21" ht="105.75" customHeight="1" thickTop="1" thickBot="1" x14ac:dyDescent="0.25">
      <c r="A12" s="21"/>
      <c r="B12" s="22" t="s">
        <v>44</v>
      </c>
      <c r="C12" s="87" t="s">
        <v>1042</v>
      </c>
      <c r="D12" s="87"/>
      <c r="E12" s="87"/>
      <c r="F12" s="87"/>
      <c r="G12" s="87"/>
      <c r="H12" s="87"/>
      <c r="I12" s="87" t="s">
        <v>1043</v>
      </c>
      <c r="J12" s="87"/>
      <c r="K12" s="87"/>
      <c r="L12" s="87" t="s">
        <v>1044</v>
      </c>
      <c r="M12" s="87"/>
      <c r="N12" s="87"/>
      <c r="O12" s="87"/>
      <c r="P12" s="23" t="s">
        <v>1045</v>
      </c>
      <c r="Q12" s="23" t="s">
        <v>49</v>
      </c>
      <c r="R12" s="44">
        <v>210</v>
      </c>
      <c r="S12" s="44">
        <v>210</v>
      </c>
      <c r="T12" s="44">
        <v>78.69</v>
      </c>
      <c r="U12" s="45">
        <v>102.9</v>
      </c>
    </row>
    <row r="13" spans="1:21" ht="75" customHeight="1" thickTop="1" x14ac:dyDescent="0.2">
      <c r="A13" s="21"/>
      <c r="B13" s="22" t="s">
        <v>50</v>
      </c>
      <c r="C13" s="87" t="s">
        <v>1046</v>
      </c>
      <c r="D13" s="87"/>
      <c r="E13" s="87"/>
      <c r="F13" s="87"/>
      <c r="G13" s="87"/>
      <c r="H13" s="87"/>
      <c r="I13" s="87" t="s">
        <v>1047</v>
      </c>
      <c r="J13" s="87"/>
      <c r="K13" s="87"/>
      <c r="L13" s="87" t="s">
        <v>1048</v>
      </c>
      <c r="M13" s="87"/>
      <c r="N13" s="87"/>
      <c r="O13" s="87"/>
      <c r="P13" s="23" t="s">
        <v>1049</v>
      </c>
      <c r="Q13" s="23" t="s">
        <v>49</v>
      </c>
      <c r="R13" s="23">
        <v>100</v>
      </c>
      <c r="S13" s="23">
        <v>100</v>
      </c>
      <c r="T13" s="23">
        <v>100</v>
      </c>
      <c r="U13" s="45">
        <f>100</f>
        <v>100</v>
      </c>
    </row>
    <row r="14" spans="1:21" ht="102" customHeight="1" x14ac:dyDescent="0.2">
      <c r="A14" s="21"/>
      <c r="B14" s="24" t="s">
        <v>55</v>
      </c>
      <c r="C14" s="88" t="s">
        <v>1050</v>
      </c>
      <c r="D14" s="88"/>
      <c r="E14" s="88"/>
      <c r="F14" s="88"/>
      <c r="G14" s="88"/>
      <c r="H14" s="88"/>
      <c r="I14" s="88" t="s">
        <v>1051</v>
      </c>
      <c r="J14" s="88"/>
      <c r="K14" s="88"/>
      <c r="L14" s="88" t="s">
        <v>1052</v>
      </c>
      <c r="M14" s="88"/>
      <c r="N14" s="88"/>
      <c r="O14" s="88"/>
      <c r="P14" s="25" t="s">
        <v>724</v>
      </c>
      <c r="Q14" s="25" t="s">
        <v>66</v>
      </c>
      <c r="R14" s="25">
        <v>100</v>
      </c>
      <c r="S14" s="25">
        <v>100</v>
      </c>
      <c r="T14" s="25">
        <v>103.67</v>
      </c>
      <c r="U14" s="46">
        <f>103.67</f>
        <v>103.67</v>
      </c>
    </row>
    <row r="15" spans="1:21" ht="75" customHeight="1" x14ac:dyDescent="0.2">
      <c r="A15" s="21"/>
      <c r="B15" s="24" t="s">
        <v>55</v>
      </c>
      <c r="C15" s="88" t="s">
        <v>1053</v>
      </c>
      <c r="D15" s="88"/>
      <c r="E15" s="88"/>
      <c r="F15" s="88"/>
      <c r="G15" s="88"/>
      <c r="H15" s="88"/>
      <c r="I15" s="88" t="s">
        <v>1054</v>
      </c>
      <c r="J15" s="88"/>
      <c r="K15" s="88"/>
      <c r="L15" s="88" t="s">
        <v>1055</v>
      </c>
      <c r="M15" s="88"/>
      <c r="N15" s="88"/>
      <c r="O15" s="88"/>
      <c r="P15" s="25" t="s">
        <v>1056</v>
      </c>
      <c r="Q15" s="25" t="s">
        <v>134</v>
      </c>
      <c r="R15" s="43">
        <v>11298</v>
      </c>
      <c r="S15" s="43">
        <v>11298</v>
      </c>
      <c r="T15" s="43">
        <v>11298</v>
      </c>
      <c r="U15" s="46">
        <f>100</f>
        <v>100</v>
      </c>
    </row>
    <row r="16" spans="1:21" ht="75" customHeight="1" thickBot="1" x14ac:dyDescent="0.25">
      <c r="A16" s="21"/>
      <c r="B16" s="24" t="s">
        <v>55</v>
      </c>
      <c r="C16" s="88" t="s">
        <v>1057</v>
      </c>
      <c r="D16" s="88"/>
      <c r="E16" s="88"/>
      <c r="F16" s="88"/>
      <c r="G16" s="88"/>
      <c r="H16" s="88"/>
      <c r="I16" s="88" t="s">
        <v>1058</v>
      </c>
      <c r="J16" s="88"/>
      <c r="K16" s="88"/>
      <c r="L16" s="88" t="s">
        <v>1059</v>
      </c>
      <c r="M16" s="88"/>
      <c r="N16" s="88"/>
      <c r="O16" s="88"/>
      <c r="P16" s="25" t="s">
        <v>1056</v>
      </c>
      <c r="Q16" s="25" t="s">
        <v>66</v>
      </c>
      <c r="R16" s="43">
        <v>5849</v>
      </c>
      <c r="S16" s="43">
        <v>5849</v>
      </c>
      <c r="T16" s="43">
        <v>5849</v>
      </c>
      <c r="U16" s="46">
        <f>100</f>
        <v>100</v>
      </c>
    </row>
    <row r="17" spans="1:22" ht="75" customHeight="1" thickTop="1" x14ac:dyDescent="0.2">
      <c r="A17" s="21"/>
      <c r="B17" s="22" t="s">
        <v>61</v>
      </c>
      <c r="C17" s="87" t="s">
        <v>1060</v>
      </c>
      <c r="D17" s="87"/>
      <c r="E17" s="87"/>
      <c r="F17" s="87"/>
      <c r="G17" s="87"/>
      <c r="H17" s="87"/>
      <c r="I17" s="87" t="s">
        <v>1061</v>
      </c>
      <c r="J17" s="87"/>
      <c r="K17" s="87"/>
      <c r="L17" s="87" t="s">
        <v>1062</v>
      </c>
      <c r="M17" s="87"/>
      <c r="N17" s="87"/>
      <c r="O17" s="87"/>
      <c r="P17" s="23" t="s">
        <v>1063</v>
      </c>
      <c r="Q17" s="23" t="s">
        <v>66</v>
      </c>
      <c r="R17" s="23">
        <v>100</v>
      </c>
      <c r="S17" s="23">
        <v>100</v>
      </c>
      <c r="T17" s="23">
        <v>100</v>
      </c>
      <c r="U17" s="45">
        <f>100</f>
        <v>100</v>
      </c>
    </row>
    <row r="18" spans="1:22" ht="102" customHeight="1" x14ac:dyDescent="0.2">
      <c r="A18" s="21"/>
      <c r="B18" s="24" t="s">
        <v>55</v>
      </c>
      <c r="C18" s="88" t="s">
        <v>1064</v>
      </c>
      <c r="D18" s="88"/>
      <c r="E18" s="88"/>
      <c r="F18" s="88"/>
      <c r="G18" s="88"/>
      <c r="H18" s="88"/>
      <c r="I18" s="88" t="s">
        <v>1065</v>
      </c>
      <c r="J18" s="88"/>
      <c r="K18" s="88"/>
      <c r="L18" s="88" t="s">
        <v>1066</v>
      </c>
      <c r="M18" s="88"/>
      <c r="N18" s="88"/>
      <c r="O18" s="88"/>
      <c r="P18" s="25" t="s">
        <v>1067</v>
      </c>
      <c r="Q18" s="25" t="s">
        <v>66</v>
      </c>
      <c r="R18" s="25">
        <v>100</v>
      </c>
      <c r="S18" s="25">
        <v>100</v>
      </c>
      <c r="T18" s="25">
        <v>110.6</v>
      </c>
      <c r="U18" s="46">
        <f>110.6</f>
        <v>110.6</v>
      </c>
    </row>
    <row r="19" spans="1:22" ht="98.25" customHeight="1" x14ac:dyDescent="0.2">
      <c r="A19" s="21"/>
      <c r="B19" s="24" t="s">
        <v>55</v>
      </c>
      <c r="C19" s="88" t="s">
        <v>1068</v>
      </c>
      <c r="D19" s="88"/>
      <c r="E19" s="88"/>
      <c r="F19" s="88"/>
      <c r="G19" s="88"/>
      <c r="H19" s="88"/>
      <c r="I19" s="88" t="s">
        <v>1069</v>
      </c>
      <c r="J19" s="88"/>
      <c r="K19" s="88"/>
      <c r="L19" s="88" t="s">
        <v>1070</v>
      </c>
      <c r="M19" s="88"/>
      <c r="N19" s="88"/>
      <c r="O19" s="88"/>
      <c r="P19" s="25" t="s">
        <v>1071</v>
      </c>
      <c r="Q19" s="25" t="s">
        <v>71</v>
      </c>
      <c r="R19" s="25">
        <v>100</v>
      </c>
      <c r="S19" s="25">
        <v>100</v>
      </c>
      <c r="T19" s="25">
        <v>100</v>
      </c>
      <c r="U19" s="46">
        <f>100</f>
        <v>100</v>
      </c>
    </row>
    <row r="20" spans="1:22" ht="75" customHeight="1" thickBot="1" x14ac:dyDescent="0.25">
      <c r="A20" s="21"/>
      <c r="B20" s="24" t="s">
        <v>55</v>
      </c>
      <c r="C20" s="88" t="s">
        <v>1072</v>
      </c>
      <c r="D20" s="88"/>
      <c r="E20" s="88"/>
      <c r="F20" s="88"/>
      <c r="G20" s="88"/>
      <c r="H20" s="88"/>
      <c r="I20" s="88" t="s">
        <v>1073</v>
      </c>
      <c r="J20" s="88"/>
      <c r="K20" s="88"/>
      <c r="L20" s="88" t="s">
        <v>1074</v>
      </c>
      <c r="M20" s="88"/>
      <c r="N20" s="88"/>
      <c r="O20" s="88"/>
      <c r="P20" s="25" t="s">
        <v>1075</v>
      </c>
      <c r="Q20" s="25" t="s">
        <v>71</v>
      </c>
      <c r="R20" s="43">
        <v>610</v>
      </c>
      <c r="S20" s="43">
        <v>610</v>
      </c>
      <c r="T20" s="43">
        <v>108</v>
      </c>
      <c r="U20" s="46">
        <f>17.7</f>
        <v>17.7</v>
      </c>
    </row>
    <row r="21" spans="1:22" ht="14.25" customHeight="1" thickTop="1" thickBot="1" x14ac:dyDescent="0.25">
      <c r="B21" s="4" t="s">
        <v>80</v>
      </c>
      <c r="C21" s="5"/>
      <c r="D21" s="5"/>
      <c r="E21" s="5"/>
      <c r="F21" s="5"/>
      <c r="G21" s="5"/>
      <c r="H21" s="6"/>
      <c r="I21" s="6"/>
      <c r="J21" s="6"/>
      <c r="K21" s="6"/>
      <c r="L21" s="6"/>
      <c r="M21" s="6"/>
      <c r="N21" s="6"/>
      <c r="O21" s="6"/>
      <c r="P21" s="6"/>
      <c r="Q21" s="6"/>
      <c r="R21" s="6"/>
      <c r="S21" s="6"/>
      <c r="T21" s="6"/>
      <c r="U21" s="7"/>
      <c r="V21" s="26"/>
    </row>
    <row r="22" spans="1:22" ht="26.25" customHeight="1" thickTop="1" x14ac:dyDescent="0.2">
      <c r="B22" s="27"/>
      <c r="C22" s="28"/>
      <c r="D22" s="28"/>
      <c r="E22" s="28"/>
      <c r="F22" s="28"/>
      <c r="G22" s="28"/>
      <c r="H22" s="29"/>
      <c r="I22" s="29"/>
      <c r="J22" s="29"/>
      <c r="K22" s="29"/>
      <c r="L22" s="29"/>
      <c r="M22" s="29"/>
      <c r="N22" s="29"/>
      <c r="O22" s="29"/>
      <c r="P22" s="29"/>
      <c r="Q22" s="29"/>
      <c r="R22" s="30"/>
      <c r="S22" s="31" t="s">
        <v>33</v>
      </c>
      <c r="T22" s="31" t="s">
        <v>81</v>
      </c>
      <c r="U22" s="18" t="s">
        <v>82</v>
      </c>
    </row>
    <row r="23" spans="1:22" ht="26.25" customHeight="1" thickBot="1" x14ac:dyDescent="0.25">
      <c r="B23" s="32"/>
      <c r="C23" s="33"/>
      <c r="D23" s="33"/>
      <c r="E23" s="33"/>
      <c r="F23" s="33"/>
      <c r="G23" s="33"/>
      <c r="H23" s="34"/>
      <c r="I23" s="34"/>
      <c r="J23" s="34"/>
      <c r="K23" s="34"/>
      <c r="L23" s="34"/>
      <c r="M23" s="34"/>
      <c r="N23" s="34"/>
      <c r="O23" s="34"/>
      <c r="P23" s="34"/>
      <c r="Q23" s="34"/>
      <c r="R23" s="34"/>
      <c r="S23" s="35" t="s">
        <v>83</v>
      </c>
      <c r="T23" s="36" t="s">
        <v>83</v>
      </c>
      <c r="U23" s="36" t="s">
        <v>84</v>
      </c>
    </row>
    <row r="24" spans="1:22" ht="13.5" customHeight="1" thickBot="1" x14ac:dyDescent="0.25">
      <c r="B24" s="92" t="s">
        <v>85</v>
      </c>
      <c r="C24" s="93"/>
      <c r="D24" s="93"/>
      <c r="E24" s="37"/>
      <c r="F24" s="37"/>
      <c r="G24" s="37"/>
      <c r="H24" s="38"/>
      <c r="I24" s="38"/>
      <c r="J24" s="38"/>
      <c r="K24" s="38"/>
      <c r="L24" s="38"/>
      <c r="M24" s="38"/>
      <c r="N24" s="38"/>
      <c r="O24" s="38"/>
      <c r="P24" s="39"/>
      <c r="Q24" s="39"/>
      <c r="R24" s="39"/>
      <c r="S24" s="48">
        <v>610.91597300000001</v>
      </c>
      <c r="T24" s="48">
        <v>1396.91369233</v>
      </c>
      <c r="U24" s="49">
        <f>+IF(ISERR(T24/S24*100),"N/A",ROUND(T24/S24*100,1))</f>
        <v>228.7</v>
      </c>
    </row>
    <row r="25" spans="1:22" ht="13.5" customHeight="1" thickBot="1" x14ac:dyDescent="0.25">
      <c r="B25" s="94" t="s">
        <v>86</v>
      </c>
      <c r="C25" s="95"/>
      <c r="D25" s="95"/>
      <c r="E25" s="40"/>
      <c r="F25" s="40"/>
      <c r="G25" s="40"/>
      <c r="H25" s="41"/>
      <c r="I25" s="41"/>
      <c r="J25" s="41"/>
      <c r="K25" s="41"/>
      <c r="L25" s="41"/>
      <c r="M25" s="41"/>
      <c r="N25" s="41"/>
      <c r="O25" s="41"/>
      <c r="P25" s="42"/>
      <c r="Q25" s="42"/>
      <c r="R25" s="42"/>
      <c r="S25" s="48">
        <v>1397.0009223299999</v>
      </c>
      <c r="T25" s="48">
        <v>1396.91369233</v>
      </c>
      <c r="U25" s="49">
        <f>+IF(ISERR(T25/S25*100),"N/A",ROUND(T25/S25*100,1))</f>
        <v>100</v>
      </c>
    </row>
    <row r="26" spans="1:22" ht="14.85" customHeight="1" thickTop="1" thickBot="1" x14ac:dyDescent="0.25">
      <c r="B26" s="4" t="s">
        <v>87</v>
      </c>
      <c r="C26" s="5"/>
      <c r="D26" s="5"/>
      <c r="E26" s="5"/>
      <c r="F26" s="5"/>
      <c r="G26" s="5"/>
      <c r="H26" s="6"/>
      <c r="I26" s="6"/>
      <c r="J26" s="6"/>
      <c r="K26" s="6"/>
      <c r="L26" s="6"/>
      <c r="M26" s="6"/>
      <c r="N26" s="6"/>
      <c r="O26" s="6"/>
      <c r="P26" s="6"/>
      <c r="Q26" s="6"/>
      <c r="R26" s="6"/>
      <c r="S26" s="6"/>
      <c r="T26" s="6"/>
      <c r="U26" s="7"/>
    </row>
    <row r="27" spans="1:22" ht="44.25" customHeight="1" thickTop="1" x14ac:dyDescent="0.2">
      <c r="B27" s="89" t="s">
        <v>88</v>
      </c>
      <c r="C27" s="90"/>
      <c r="D27" s="90"/>
      <c r="E27" s="90"/>
      <c r="F27" s="90"/>
      <c r="G27" s="90"/>
      <c r="H27" s="90"/>
      <c r="I27" s="90"/>
      <c r="J27" s="90"/>
      <c r="K27" s="90"/>
      <c r="L27" s="90"/>
      <c r="M27" s="90"/>
      <c r="N27" s="90"/>
      <c r="O27" s="90"/>
      <c r="P27" s="90"/>
      <c r="Q27" s="90"/>
      <c r="R27" s="90"/>
      <c r="S27" s="90"/>
      <c r="T27" s="90"/>
      <c r="U27" s="91"/>
    </row>
    <row r="28" spans="1:22" ht="69" customHeight="1" x14ac:dyDescent="0.2">
      <c r="B28" s="96" t="s">
        <v>1076</v>
      </c>
      <c r="C28" s="97"/>
      <c r="D28" s="97"/>
      <c r="E28" s="97"/>
      <c r="F28" s="97"/>
      <c r="G28" s="97"/>
      <c r="H28" s="97"/>
      <c r="I28" s="97"/>
      <c r="J28" s="97"/>
      <c r="K28" s="97"/>
      <c r="L28" s="97"/>
      <c r="M28" s="97"/>
      <c r="N28" s="97"/>
      <c r="O28" s="97"/>
      <c r="P28" s="97"/>
      <c r="Q28" s="97"/>
      <c r="R28" s="97"/>
      <c r="S28" s="97"/>
      <c r="T28" s="97"/>
      <c r="U28" s="98"/>
    </row>
    <row r="29" spans="1:22" ht="69" customHeight="1" x14ac:dyDescent="0.2">
      <c r="B29" s="96" t="s">
        <v>1077</v>
      </c>
      <c r="C29" s="97"/>
      <c r="D29" s="97"/>
      <c r="E29" s="97"/>
      <c r="F29" s="97"/>
      <c r="G29" s="97"/>
      <c r="H29" s="97"/>
      <c r="I29" s="97"/>
      <c r="J29" s="97"/>
      <c r="K29" s="97"/>
      <c r="L29" s="97"/>
      <c r="M29" s="97"/>
      <c r="N29" s="97"/>
      <c r="O29" s="97"/>
      <c r="P29" s="97"/>
      <c r="Q29" s="97"/>
      <c r="R29" s="97"/>
      <c r="S29" s="97"/>
      <c r="T29" s="97"/>
      <c r="U29" s="98"/>
    </row>
    <row r="30" spans="1:22" ht="82.5" customHeight="1" x14ac:dyDescent="0.2">
      <c r="B30" s="96" t="s">
        <v>1078</v>
      </c>
      <c r="C30" s="97"/>
      <c r="D30" s="97"/>
      <c r="E30" s="97"/>
      <c r="F30" s="97"/>
      <c r="G30" s="97"/>
      <c r="H30" s="97"/>
      <c r="I30" s="97"/>
      <c r="J30" s="97"/>
      <c r="K30" s="97"/>
      <c r="L30" s="97"/>
      <c r="M30" s="97"/>
      <c r="N30" s="97"/>
      <c r="O30" s="97"/>
      <c r="P30" s="97"/>
      <c r="Q30" s="97"/>
      <c r="R30" s="97"/>
      <c r="S30" s="97"/>
      <c r="T30" s="97"/>
      <c r="U30" s="98"/>
    </row>
    <row r="31" spans="1:22" ht="132" customHeight="1" x14ac:dyDescent="0.2">
      <c r="B31" s="96" t="s">
        <v>1079</v>
      </c>
      <c r="C31" s="97"/>
      <c r="D31" s="97"/>
      <c r="E31" s="97"/>
      <c r="F31" s="97"/>
      <c r="G31" s="97"/>
      <c r="H31" s="97"/>
      <c r="I31" s="97"/>
      <c r="J31" s="97"/>
      <c r="K31" s="97"/>
      <c r="L31" s="97"/>
      <c r="M31" s="97"/>
      <c r="N31" s="97"/>
      <c r="O31" s="97"/>
      <c r="P31" s="97"/>
      <c r="Q31" s="97"/>
      <c r="R31" s="97"/>
      <c r="S31" s="97"/>
      <c r="T31" s="97"/>
      <c r="U31" s="98"/>
    </row>
    <row r="32" spans="1:22" ht="66" customHeight="1" x14ac:dyDescent="0.2">
      <c r="B32" s="96" t="s">
        <v>1080</v>
      </c>
      <c r="C32" s="97"/>
      <c r="D32" s="97"/>
      <c r="E32" s="97"/>
      <c r="F32" s="97"/>
      <c r="G32" s="97"/>
      <c r="H32" s="97"/>
      <c r="I32" s="97"/>
      <c r="J32" s="97"/>
      <c r="K32" s="97"/>
      <c r="L32" s="97"/>
      <c r="M32" s="97"/>
      <c r="N32" s="97"/>
      <c r="O32" s="97"/>
      <c r="P32" s="97"/>
      <c r="Q32" s="97"/>
      <c r="R32" s="97"/>
      <c r="S32" s="97"/>
      <c r="T32" s="97"/>
      <c r="U32" s="98"/>
    </row>
    <row r="33" spans="2:21" ht="75.75" customHeight="1" x14ac:dyDescent="0.2">
      <c r="B33" s="96" t="s">
        <v>1081</v>
      </c>
      <c r="C33" s="97"/>
      <c r="D33" s="97"/>
      <c r="E33" s="97"/>
      <c r="F33" s="97"/>
      <c r="G33" s="97"/>
      <c r="H33" s="97"/>
      <c r="I33" s="97"/>
      <c r="J33" s="97"/>
      <c r="K33" s="97"/>
      <c r="L33" s="97"/>
      <c r="M33" s="97"/>
      <c r="N33" s="97"/>
      <c r="O33" s="97"/>
      <c r="P33" s="97"/>
      <c r="Q33" s="97"/>
      <c r="R33" s="97"/>
      <c r="S33" s="97"/>
      <c r="T33" s="97"/>
      <c r="U33" s="98"/>
    </row>
    <row r="34" spans="2:21" ht="83.25" customHeight="1" x14ac:dyDescent="0.2">
      <c r="B34" s="96" t="s">
        <v>1082</v>
      </c>
      <c r="C34" s="97"/>
      <c r="D34" s="97"/>
      <c r="E34" s="97"/>
      <c r="F34" s="97"/>
      <c r="G34" s="97"/>
      <c r="H34" s="97"/>
      <c r="I34" s="97"/>
      <c r="J34" s="97"/>
      <c r="K34" s="97"/>
      <c r="L34" s="97"/>
      <c r="M34" s="97"/>
      <c r="N34" s="97"/>
      <c r="O34" s="97"/>
      <c r="P34" s="97"/>
      <c r="Q34" s="97"/>
      <c r="R34" s="97"/>
      <c r="S34" s="97"/>
      <c r="T34" s="97"/>
      <c r="U34" s="98"/>
    </row>
    <row r="35" spans="2:21" ht="75.75" customHeight="1" x14ac:dyDescent="0.2">
      <c r="B35" s="96" t="s">
        <v>1083</v>
      </c>
      <c r="C35" s="97"/>
      <c r="D35" s="97"/>
      <c r="E35" s="97"/>
      <c r="F35" s="97"/>
      <c r="G35" s="97"/>
      <c r="H35" s="97"/>
      <c r="I35" s="97"/>
      <c r="J35" s="97"/>
      <c r="K35" s="97"/>
      <c r="L35" s="97"/>
      <c r="M35" s="97"/>
      <c r="N35" s="97"/>
      <c r="O35" s="97"/>
      <c r="P35" s="97"/>
      <c r="Q35" s="97"/>
      <c r="R35" s="97"/>
      <c r="S35" s="97"/>
      <c r="T35" s="97"/>
      <c r="U35" s="98"/>
    </row>
    <row r="36" spans="2:21" ht="77.25" customHeight="1" x14ac:dyDescent="0.2">
      <c r="B36" s="96" t="s">
        <v>1084</v>
      </c>
      <c r="C36" s="97"/>
      <c r="D36" s="97"/>
      <c r="E36" s="97"/>
      <c r="F36" s="97"/>
      <c r="G36" s="97"/>
      <c r="H36" s="97"/>
      <c r="I36" s="97"/>
      <c r="J36" s="97"/>
      <c r="K36" s="97"/>
      <c r="L36" s="97"/>
      <c r="M36" s="97"/>
      <c r="N36" s="97"/>
      <c r="O36" s="97"/>
      <c r="P36" s="97"/>
      <c r="Q36" s="97"/>
      <c r="R36" s="97"/>
      <c r="S36" s="97"/>
      <c r="T36" s="97"/>
      <c r="U36" s="98"/>
    </row>
    <row r="37" spans="2:21" ht="131.44999999999999" customHeight="1" thickBot="1" x14ac:dyDescent="0.25">
      <c r="B37" s="99" t="s">
        <v>1085</v>
      </c>
      <c r="C37" s="100"/>
      <c r="D37" s="100"/>
      <c r="E37" s="100"/>
      <c r="F37" s="100"/>
      <c r="G37" s="100"/>
      <c r="H37" s="100"/>
      <c r="I37" s="100"/>
      <c r="J37" s="100"/>
      <c r="K37" s="100"/>
      <c r="L37" s="100"/>
      <c r="M37" s="100"/>
      <c r="N37" s="100"/>
      <c r="O37" s="100"/>
      <c r="P37" s="100"/>
      <c r="Q37" s="100"/>
      <c r="R37" s="100"/>
      <c r="S37" s="100"/>
      <c r="T37" s="100"/>
      <c r="U37" s="101"/>
    </row>
  </sheetData>
  <mergeCells count="64">
    <mergeCell ref="B34:U34"/>
    <mergeCell ref="B35:U35"/>
    <mergeCell ref="B36:U36"/>
    <mergeCell ref="B37:U37"/>
    <mergeCell ref="B28:U28"/>
    <mergeCell ref="B29:U29"/>
    <mergeCell ref="B30:U30"/>
    <mergeCell ref="B31:U31"/>
    <mergeCell ref="B32:U32"/>
    <mergeCell ref="B33:U33"/>
    <mergeCell ref="B27:U27"/>
    <mergeCell ref="C18:H18"/>
    <mergeCell ref="I18:K18"/>
    <mergeCell ref="L18:O18"/>
    <mergeCell ref="C19:H19"/>
    <mergeCell ref="I19:K19"/>
    <mergeCell ref="L19:O19"/>
    <mergeCell ref="C20:H20"/>
    <mergeCell ref="I20:K20"/>
    <mergeCell ref="L20:O20"/>
    <mergeCell ref="B24:D24"/>
    <mergeCell ref="B25:D25"/>
    <mergeCell ref="C16:H16"/>
    <mergeCell ref="I16:K16"/>
    <mergeCell ref="L16:O16"/>
    <mergeCell ref="C17:H17"/>
    <mergeCell ref="I17:K17"/>
    <mergeCell ref="L17:O17"/>
    <mergeCell ref="C14:H14"/>
    <mergeCell ref="I14:K14"/>
    <mergeCell ref="L14:O14"/>
    <mergeCell ref="C15:H15"/>
    <mergeCell ref="I15:K15"/>
    <mergeCell ref="L15:O15"/>
    <mergeCell ref="C12:H12"/>
    <mergeCell ref="I12:K12"/>
    <mergeCell ref="L12:O12"/>
    <mergeCell ref="C13:H13"/>
    <mergeCell ref="I13:K13"/>
    <mergeCell ref="L13:O13"/>
    <mergeCell ref="C11:H11"/>
    <mergeCell ref="I11:K11"/>
    <mergeCell ref="L11:O11"/>
    <mergeCell ref="C6:G6"/>
    <mergeCell ref="K6:M6"/>
    <mergeCell ref="P6:Q6"/>
    <mergeCell ref="T6:U6"/>
    <mergeCell ref="B8:B10"/>
    <mergeCell ref="C8:H10"/>
    <mergeCell ref="I8:S8"/>
    <mergeCell ref="T8:U8"/>
    <mergeCell ref="I9:K10"/>
    <mergeCell ref="L9:O10"/>
    <mergeCell ref="P9:P10"/>
    <mergeCell ref="Q9:Q10"/>
    <mergeCell ref="R9:S9"/>
    <mergeCell ref="T9:T10"/>
    <mergeCell ref="U9:U10"/>
    <mergeCell ref="B5:U5"/>
    <mergeCell ref="B1:L1"/>
    <mergeCell ref="D4:H4"/>
    <mergeCell ref="L4:O4"/>
    <mergeCell ref="Q4:R4"/>
    <mergeCell ref="T4:U4"/>
  </mergeCells>
  <printOptions horizontalCentered="1"/>
  <pageMargins left="0.78740157480314965" right="0.78740157480314965" top="0.98425196850393704" bottom="0.98425196850393704" header="0" footer="0.39370078740157483"/>
  <pageSetup scale="60" fitToHeight="10" orientation="landscape" r:id="rId1"/>
  <headerFooter>
    <oddFooter>&amp;R&amp;P de &amp;N</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35"/>
  <sheetViews>
    <sheetView view="pageBreakPreview" topLeftCell="A7" zoomScale="80" zoomScaleNormal="80" zoomScaleSheetLayoutView="80" workbookViewId="0">
      <selection activeCell="L17" sqref="L17:O17"/>
    </sheetView>
  </sheetViews>
  <sheetFormatPr baseColWidth="10" defaultColWidth="10" defaultRowHeight="12.75" x14ac:dyDescent="0.2"/>
  <cols>
    <col min="1" max="1" width="3.5" style="1" customWidth="1"/>
    <col min="2" max="2" width="14.7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9.625" style="1" customWidth="1"/>
    <col min="19" max="19" width="13" style="1" customWidth="1"/>
    <col min="20" max="20" width="10.75" style="1" customWidth="1"/>
    <col min="21" max="21" width="11.37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50" t="s">
        <v>0</v>
      </c>
      <c r="C1" s="50"/>
      <c r="D1" s="50"/>
      <c r="E1" s="50"/>
      <c r="F1" s="50"/>
      <c r="G1" s="50"/>
      <c r="H1" s="50"/>
      <c r="I1" s="50"/>
      <c r="J1" s="50"/>
      <c r="K1" s="50"/>
      <c r="L1" s="50"/>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51.75" customHeight="1" thickTop="1" x14ac:dyDescent="0.2">
      <c r="B4" s="8" t="s">
        <v>6</v>
      </c>
      <c r="C4" s="9" t="s">
        <v>1086</v>
      </c>
      <c r="D4" s="57" t="s">
        <v>1087</v>
      </c>
      <c r="E4" s="57"/>
      <c r="F4" s="57"/>
      <c r="G4" s="57"/>
      <c r="H4" s="57"/>
      <c r="I4" s="10"/>
      <c r="J4" s="11" t="s">
        <v>9</v>
      </c>
      <c r="K4" s="12" t="s">
        <v>10</v>
      </c>
      <c r="L4" s="58" t="s">
        <v>11</v>
      </c>
      <c r="M4" s="58"/>
      <c r="N4" s="58"/>
      <c r="O4" s="58"/>
      <c r="P4" s="11" t="s">
        <v>12</v>
      </c>
      <c r="Q4" s="58" t="s">
        <v>188</v>
      </c>
      <c r="R4" s="58"/>
      <c r="S4" s="11" t="s">
        <v>14</v>
      </c>
      <c r="T4" s="58"/>
      <c r="U4" s="59"/>
    </row>
    <row r="5" spans="1:21" ht="15.75" customHeight="1" x14ac:dyDescent="0.2">
      <c r="B5" s="54" t="s">
        <v>15</v>
      </c>
      <c r="C5" s="55"/>
      <c r="D5" s="55"/>
      <c r="E5" s="55"/>
      <c r="F5" s="55"/>
      <c r="G5" s="55"/>
      <c r="H5" s="55"/>
      <c r="I5" s="55"/>
      <c r="J5" s="55"/>
      <c r="K5" s="55"/>
      <c r="L5" s="55"/>
      <c r="M5" s="55"/>
      <c r="N5" s="55"/>
      <c r="O5" s="55"/>
      <c r="P5" s="55"/>
      <c r="Q5" s="55"/>
      <c r="R5" s="55"/>
      <c r="S5" s="55"/>
      <c r="T5" s="55"/>
      <c r="U5" s="56"/>
    </row>
    <row r="6" spans="1:21" ht="42" customHeight="1" thickBot="1" x14ac:dyDescent="0.25">
      <c r="B6" s="13" t="s">
        <v>16</v>
      </c>
      <c r="C6" s="60" t="s">
        <v>17</v>
      </c>
      <c r="D6" s="60"/>
      <c r="E6" s="60"/>
      <c r="F6" s="60"/>
      <c r="G6" s="60"/>
      <c r="H6" s="14"/>
      <c r="I6" s="14"/>
      <c r="J6" s="14" t="s">
        <v>18</v>
      </c>
      <c r="K6" s="60" t="s">
        <v>189</v>
      </c>
      <c r="L6" s="60"/>
      <c r="M6" s="60"/>
      <c r="N6" s="15"/>
      <c r="O6" s="16" t="s">
        <v>20</v>
      </c>
      <c r="P6" s="60" t="s">
        <v>190</v>
      </c>
      <c r="Q6" s="60"/>
      <c r="R6" s="17"/>
      <c r="S6" s="16" t="s">
        <v>22</v>
      </c>
      <c r="T6" s="60" t="s">
        <v>191</v>
      </c>
      <c r="U6" s="61"/>
    </row>
    <row r="7" spans="1:21" ht="14.25" customHeight="1" thickTop="1" thickBot="1" x14ac:dyDescent="0.25">
      <c r="B7" s="4" t="s">
        <v>24</v>
      </c>
      <c r="C7" s="5"/>
      <c r="D7" s="5"/>
      <c r="E7" s="5"/>
      <c r="F7" s="5"/>
      <c r="G7" s="5"/>
      <c r="H7" s="6"/>
      <c r="I7" s="6"/>
      <c r="J7" s="6"/>
      <c r="K7" s="6"/>
      <c r="L7" s="6"/>
      <c r="M7" s="6"/>
      <c r="N7" s="6"/>
      <c r="O7" s="6"/>
      <c r="P7" s="6"/>
      <c r="Q7" s="6"/>
      <c r="R7" s="6"/>
      <c r="S7" s="6"/>
      <c r="T7" s="6"/>
      <c r="U7" s="7"/>
    </row>
    <row r="8" spans="1:21" ht="16.5" customHeight="1" thickTop="1" x14ac:dyDescent="0.2">
      <c r="B8" s="62" t="s">
        <v>25</v>
      </c>
      <c r="C8" s="65" t="s">
        <v>26</v>
      </c>
      <c r="D8" s="66"/>
      <c r="E8" s="66"/>
      <c r="F8" s="66"/>
      <c r="G8" s="66"/>
      <c r="H8" s="67"/>
      <c r="I8" s="74" t="s">
        <v>27</v>
      </c>
      <c r="J8" s="75"/>
      <c r="K8" s="75"/>
      <c r="L8" s="75"/>
      <c r="M8" s="75"/>
      <c r="N8" s="75"/>
      <c r="O8" s="75"/>
      <c r="P8" s="75"/>
      <c r="Q8" s="75"/>
      <c r="R8" s="75"/>
      <c r="S8" s="76"/>
      <c r="T8" s="77" t="s">
        <v>28</v>
      </c>
      <c r="U8" s="78"/>
    </row>
    <row r="9" spans="1:21" ht="19.5" customHeight="1" x14ac:dyDescent="0.2">
      <c r="B9" s="63"/>
      <c r="C9" s="68"/>
      <c r="D9" s="69"/>
      <c r="E9" s="69"/>
      <c r="F9" s="69"/>
      <c r="G9" s="69"/>
      <c r="H9" s="70"/>
      <c r="I9" s="79" t="s">
        <v>29</v>
      </c>
      <c r="J9" s="80"/>
      <c r="K9" s="80"/>
      <c r="L9" s="80" t="s">
        <v>30</v>
      </c>
      <c r="M9" s="80"/>
      <c r="N9" s="80"/>
      <c r="O9" s="80"/>
      <c r="P9" s="80" t="s">
        <v>31</v>
      </c>
      <c r="Q9" s="80" t="s">
        <v>32</v>
      </c>
      <c r="R9" s="83" t="s">
        <v>33</v>
      </c>
      <c r="S9" s="84"/>
      <c r="T9" s="80" t="s">
        <v>34</v>
      </c>
      <c r="U9" s="85" t="s">
        <v>35</v>
      </c>
    </row>
    <row r="10" spans="1:21" ht="26.25" customHeight="1" thickBot="1" x14ac:dyDescent="0.25">
      <c r="B10" s="64"/>
      <c r="C10" s="71"/>
      <c r="D10" s="72"/>
      <c r="E10" s="72"/>
      <c r="F10" s="72"/>
      <c r="G10" s="72"/>
      <c r="H10" s="73"/>
      <c r="I10" s="81"/>
      <c r="J10" s="82"/>
      <c r="K10" s="82"/>
      <c r="L10" s="82"/>
      <c r="M10" s="82"/>
      <c r="N10" s="82"/>
      <c r="O10" s="82"/>
      <c r="P10" s="82"/>
      <c r="Q10" s="82"/>
      <c r="R10" s="19" t="s">
        <v>36</v>
      </c>
      <c r="S10" s="20" t="s">
        <v>37</v>
      </c>
      <c r="T10" s="82"/>
      <c r="U10" s="86"/>
    </row>
    <row r="11" spans="1:21" ht="75" customHeight="1" thickTop="1" thickBot="1" x14ac:dyDescent="0.25">
      <c r="A11" s="21"/>
      <c r="B11" s="22" t="s">
        <v>38</v>
      </c>
      <c r="C11" s="87" t="s">
        <v>1088</v>
      </c>
      <c r="D11" s="87"/>
      <c r="E11" s="87"/>
      <c r="F11" s="87"/>
      <c r="G11" s="87"/>
      <c r="H11" s="87"/>
      <c r="I11" s="87" t="s">
        <v>1089</v>
      </c>
      <c r="J11" s="87"/>
      <c r="K11" s="87"/>
      <c r="L11" s="87" t="s">
        <v>1090</v>
      </c>
      <c r="M11" s="87"/>
      <c r="N11" s="87"/>
      <c r="O11" s="87"/>
      <c r="P11" s="23" t="s">
        <v>198</v>
      </c>
      <c r="Q11" s="23" t="s">
        <v>43</v>
      </c>
      <c r="R11" s="23">
        <v>3.01</v>
      </c>
      <c r="S11" s="23">
        <v>3.01</v>
      </c>
      <c r="T11" s="23">
        <v>4.7</v>
      </c>
      <c r="U11" s="45">
        <f>156.15</f>
        <v>156.15</v>
      </c>
    </row>
    <row r="12" spans="1:21" ht="75" customHeight="1" thickTop="1" thickBot="1" x14ac:dyDescent="0.25">
      <c r="A12" s="21"/>
      <c r="B12" s="22" t="s">
        <v>44</v>
      </c>
      <c r="C12" s="87" t="s">
        <v>1091</v>
      </c>
      <c r="D12" s="87"/>
      <c r="E12" s="87"/>
      <c r="F12" s="87"/>
      <c r="G12" s="87"/>
      <c r="H12" s="87"/>
      <c r="I12" s="87" t="s">
        <v>1092</v>
      </c>
      <c r="J12" s="87"/>
      <c r="K12" s="87"/>
      <c r="L12" s="87" t="s">
        <v>1093</v>
      </c>
      <c r="M12" s="87"/>
      <c r="N12" s="87"/>
      <c r="O12" s="87"/>
      <c r="P12" s="23" t="s">
        <v>48</v>
      </c>
      <c r="Q12" s="23" t="s">
        <v>43</v>
      </c>
      <c r="R12" s="23">
        <v>27.83</v>
      </c>
      <c r="S12" s="23">
        <v>27.83</v>
      </c>
      <c r="T12" s="23">
        <v>78.69</v>
      </c>
      <c r="U12" s="45">
        <v>102.9</v>
      </c>
    </row>
    <row r="13" spans="1:21" ht="75" customHeight="1" thickTop="1" x14ac:dyDescent="0.2">
      <c r="A13" s="21"/>
      <c r="B13" s="22" t="s">
        <v>50</v>
      </c>
      <c r="C13" s="87" t="s">
        <v>1094</v>
      </c>
      <c r="D13" s="87"/>
      <c r="E13" s="87"/>
      <c r="F13" s="87"/>
      <c r="G13" s="87"/>
      <c r="H13" s="87"/>
      <c r="I13" s="87" t="s">
        <v>1095</v>
      </c>
      <c r="J13" s="87"/>
      <c r="K13" s="87"/>
      <c r="L13" s="87" t="s">
        <v>1096</v>
      </c>
      <c r="M13" s="87"/>
      <c r="N13" s="87"/>
      <c r="O13" s="87"/>
      <c r="P13" s="23" t="s">
        <v>1097</v>
      </c>
      <c r="Q13" s="23" t="s">
        <v>43</v>
      </c>
      <c r="R13" s="23">
        <v>40.03</v>
      </c>
      <c r="S13" s="23">
        <v>40.03</v>
      </c>
      <c r="T13" s="23">
        <v>41.3</v>
      </c>
      <c r="U13" s="45">
        <f>103.17</f>
        <v>103.17</v>
      </c>
    </row>
    <row r="14" spans="1:21" ht="137.25" customHeight="1" thickBot="1" x14ac:dyDescent="0.25">
      <c r="A14" s="21"/>
      <c r="B14" s="24" t="s">
        <v>55</v>
      </c>
      <c r="C14" s="88" t="s">
        <v>1098</v>
      </c>
      <c r="D14" s="88"/>
      <c r="E14" s="88"/>
      <c r="F14" s="88"/>
      <c r="G14" s="88"/>
      <c r="H14" s="88"/>
      <c r="I14" s="88" t="s">
        <v>1099</v>
      </c>
      <c r="J14" s="88"/>
      <c r="K14" s="88"/>
      <c r="L14" s="88" t="s">
        <v>1100</v>
      </c>
      <c r="M14" s="88"/>
      <c r="N14" s="88"/>
      <c r="O14" s="88"/>
      <c r="P14" s="25" t="s">
        <v>368</v>
      </c>
      <c r="Q14" s="25" t="s">
        <v>501</v>
      </c>
      <c r="R14" s="25">
        <v>55.04</v>
      </c>
      <c r="S14" s="25">
        <v>55.04</v>
      </c>
      <c r="T14" s="25">
        <v>69.09</v>
      </c>
      <c r="U14" s="46">
        <f>125.53</f>
        <v>125.53</v>
      </c>
    </row>
    <row r="15" spans="1:21" ht="75" customHeight="1" thickTop="1" x14ac:dyDescent="0.2">
      <c r="A15" s="21"/>
      <c r="B15" s="22" t="s">
        <v>61</v>
      </c>
      <c r="C15" s="87" t="s">
        <v>1101</v>
      </c>
      <c r="D15" s="87"/>
      <c r="E15" s="87"/>
      <c r="F15" s="87"/>
      <c r="G15" s="87"/>
      <c r="H15" s="87"/>
      <c r="I15" s="87" t="s">
        <v>1102</v>
      </c>
      <c r="J15" s="87"/>
      <c r="K15" s="87"/>
      <c r="L15" s="87" t="s">
        <v>1103</v>
      </c>
      <c r="M15" s="87"/>
      <c r="N15" s="87"/>
      <c r="O15" s="87"/>
      <c r="P15" s="23" t="s">
        <v>1104</v>
      </c>
      <c r="Q15" s="23" t="s">
        <v>71</v>
      </c>
      <c r="R15" s="23">
        <v>43.48</v>
      </c>
      <c r="S15" s="23">
        <v>43.48</v>
      </c>
      <c r="T15" s="23">
        <v>51.29</v>
      </c>
      <c r="U15" s="45">
        <f>117.9</f>
        <v>117.9</v>
      </c>
    </row>
    <row r="16" spans="1:21" ht="75" customHeight="1" x14ac:dyDescent="0.2">
      <c r="A16" s="21"/>
      <c r="B16" s="24" t="s">
        <v>55</v>
      </c>
      <c r="C16" s="88" t="s">
        <v>1105</v>
      </c>
      <c r="D16" s="88"/>
      <c r="E16" s="88"/>
      <c r="F16" s="88"/>
      <c r="G16" s="88"/>
      <c r="H16" s="88"/>
      <c r="I16" s="88" t="s">
        <v>1106</v>
      </c>
      <c r="J16" s="88"/>
      <c r="K16" s="88"/>
      <c r="L16" s="88" t="s">
        <v>1107</v>
      </c>
      <c r="M16" s="88"/>
      <c r="N16" s="88"/>
      <c r="O16" s="88"/>
      <c r="P16" s="25" t="s">
        <v>296</v>
      </c>
      <c r="Q16" s="25" t="s">
        <v>71</v>
      </c>
      <c r="R16" s="25">
        <v>14.71</v>
      </c>
      <c r="S16" s="25">
        <v>14.71</v>
      </c>
      <c r="T16" s="25">
        <v>16.47</v>
      </c>
      <c r="U16" s="46">
        <f>111.9</f>
        <v>111.9</v>
      </c>
    </row>
    <row r="17" spans="1:22" ht="75" customHeight="1" x14ac:dyDescent="0.2">
      <c r="A17" s="21"/>
      <c r="B17" s="24" t="s">
        <v>55</v>
      </c>
      <c r="C17" s="88" t="s">
        <v>1108</v>
      </c>
      <c r="D17" s="88"/>
      <c r="E17" s="88"/>
      <c r="F17" s="88"/>
      <c r="G17" s="88"/>
      <c r="H17" s="88"/>
      <c r="I17" s="88" t="s">
        <v>1109</v>
      </c>
      <c r="J17" s="88"/>
      <c r="K17" s="88"/>
      <c r="L17" s="88" t="s">
        <v>1110</v>
      </c>
      <c r="M17" s="88"/>
      <c r="N17" s="88"/>
      <c r="O17" s="88"/>
      <c r="P17" s="25" t="s">
        <v>1111</v>
      </c>
      <c r="Q17" s="25" t="s">
        <v>71</v>
      </c>
      <c r="R17" s="25">
        <v>4</v>
      </c>
      <c r="S17" s="25">
        <v>4</v>
      </c>
      <c r="T17" s="25">
        <v>4</v>
      </c>
      <c r="U17" s="46">
        <f>100</f>
        <v>100</v>
      </c>
    </row>
    <row r="18" spans="1:22" ht="75" customHeight="1" x14ac:dyDescent="0.2">
      <c r="A18" s="21"/>
      <c r="B18" s="24" t="s">
        <v>55</v>
      </c>
      <c r="C18" s="88" t="s">
        <v>1112</v>
      </c>
      <c r="D18" s="88"/>
      <c r="E18" s="88"/>
      <c r="F18" s="88"/>
      <c r="G18" s="88"/>
      <c r="H18" s="88"/>
      <c r="I18" s="88" t="s">
        <v>1113</v>
      </c>
      <c r="J18" s="88"/>
      <c r="K18" s="88"/>
      <c r="L18" s="88" t="s">
        <v>1114</v>
      </c>
      <c r="M18" s="88"/>
      <c r="N18" s="88"/>
      <c r="O18" s="88"/>
      <c r="P18" s="25" t="s">
        <v>48</v>
      </c>
      <c r="Q18" s="25" t="s">
        <v>71</v>
      </c>
      <c r="R18" s="25">
        <v>12.73</v>
      </c>
      <c r="S18" s="25">
        <v>12.73</v>
      </c>
      <c r="T18" s="25">
        <v>12.73</v>
      </c>
      <c r="U18" s="46">
        <f>100</f>
        <v>100</v>
      </c>
    </row>
    <row r="19" spans="1:22" ht="75" customHeight="1" thickBot="1" x14ac:dyDescent="0.25">
      <c r="A19" s="21"/>
      <c r="B19" s="24" t="s">
        <v>55</v>
      </c>
      <c r="C19" s="88" t="s">
        <v>1115</v>
      </c>
      <c r="D19" s="88"/>
      <c r="E19" s="88"/>
      <c r="F19" s="88"/>
      <c r="G19" s="88"/>
      <c r="H19" s="88"/>
      <c r="I19" s="88" t="s">
        <v>1116</v>
      </c>
      <c r="J19" s="88"/>
      <c r="K19" s="88"/>
      <c r="L19" s="88" t="s">
        <v>1117</v>
      </c>
      <c r="M19" s="88"/>
      <c r="N19" s="88"/>
      <c r="O19" s="88"/>
      <c r="P19" s="25" t="s">
        <v>48</v>
      </c>
      <c r="Q19" s="25" t="s">
        <v>71</v>
      </c>
      <c r="R19" s="25">
        <v>14</v>
      </c>
      <c r="S19" s="25">
        <v>14</v>
      </c>
      <c r="T19" s="25">
        <v>18</v>
      </c>
      <c r="U19" s="46">
        <f>128.5</f>
        <v>128.5</v>
      </c>
    </row>
    <row r="20" spans="1:22" ht="14.25" customHeight="1" thickTop="1" thickBot="1" x14ac:dyDescent="0.25">
      <c r="B20" s="4" t="s">
        <v>80</v>
      </c>
      <c r="C20" s="5"/>
      <c r="D20" s="5"/>
      <c r="E20" s="5"/>
      <c r="F20" s="5"/>
      <c r="G20" s="5"/>
      <c r="H20" s="6"/>
      <c r="I20" s="6"/>
      <c r="J20" s="6"/>
      <c r="K20" s="6"/>
      <c r="L20" s="6"/>
      <c r="M20" s="6"/>
      <c r="N20" s="6"/>
      <c r="O20" s="6"/>
      <c r="P20" s="6"/>
      <c r="Q20" s="6"/>
      <c r="R20" s="6"/>
      <c r="S20" s="6"/>
      <c r="T20" s="6"/>
      <c r="U20" s="7"/>
      <c r="V20" s="26"/>
    </row>
    <row r="21" spans="1:22" ht="26.25" customHeight="1" thickTop="1" x14ac:dyDescent="0.2">
      <c r="B21" s="27"/>
      <c r="C21" s="28"/>
      <c r="D21" s="28"/>
      <c r="E21" s="28"/>
      <c r="F21" s="28"/>
      <c r="G21" s="28"/>
      <c r="H21" s="29"/>
      <c r="I21" s="29"/>
      <c r="J21" s="29"/>
      <c r="K21" s="29"/>
      <c r="L21" s="29"/>
      <c r="M21" s="29"/>
      <c r="N21" s="29"/>
      <c r="O21" s="29"/>
      <c r="P21" s="29"/>
      <c r="Q21" s="29"/>
      <c r="R21" s="30"/>
      <c r="S21" s="31" t="s">
        <v>33</v>
      </c>
      <c r="T21" s="31" t="s">
        <v>81</v>
      </c>
      <c r="U21" s="18" t="s">
        <v>82</v>
      </c>
    </row>
    <row r="22" spans="1:22" ht="26.25" customHeight="1" thickBot="1" x14ac:dyDescent="0.25">
      <c r="B22" s="32"/>
      <c r="C22" s="33"/>
      <c r="D22" s="33"/>
      <c r="E22" s="33"/>
      <c r="F22" s="33"/>
      <c r="G22" s="33"/>
      <c r="H22" s="34"/>
      <c r="I22" s="34"/>
      <c r="J22" s="34"/>
      <c r="K22" s="34"/>
      <c r="L22" s="34"/>
      <c r="M22" s="34"/>
      <c r="N22" s="34"/>
      <c r="O22" s="34"/>
      <c r="P22" s="34"/>
      <c r="Q22" s="34"/>
      <c r="R22" s="34"/>
      <c r="S22" s="35" t="s">
        <v>83</v>
      </c>
      <c r="T22" s="36" t="s">
        <v>83</v>
      </c>
      <c r="U22" s="36" t="s">
        <v>84</v>
      </c>
    </row>
    <row r="23" spans="1:22" ht="13.5" customHeight="1" thickBot="1" x14ac:dyDescent="0.25">
      <c r="B23" s="92" t="s">
        <v>85</v>
      </c>
      <c r="C23" s="93"/>
      <c r="D23" s="93"/>
      <c r="E23" s="37"/>
      <c r="F23" s="37"/>
      <c r="G23" s="37"/>
      <c r="H23" s="38"/>
      <c r="I23" s="38"/>
      <c r="J23" s="38"/>
      <c r="K23" s="38"/>
      <c r="L23" s="38"/>
      <c r="M23" s="38"/>
      <c r="N23" s="38"/>
      <c r="O23" s="38"/>
      <c r="P23" s="39"/>
      <c r="Q23" s="39"/>
      <c r="R23" s="39"/>
      <c r="S23" s="48">
        <v>37.166662000000002</v>
      </c>
      <c r="T23" s="48">
        <v>30.754726899999998</v>
      </c>
      <c r="U23" s="49">
        <f>+IF(ISERR(T23/S23*100),"N/A",ROUND(T23/S23*100,1))</f>
        <v>82.7</v>
      </c>
    </row>
    <row r="24" spans="1:22" ht="13.5" customHeight="1" thickBot="1" x14ac:dyDescent="0.25">
      <c r="B24" s="94" t="s">
        <v>86</v>
      </c>
      <c r="C24" s="95"/>
      <c r="D24" s="95"/>
      <c r="E24" s="40"/>
      <c r="F24" s="40"/>
      <c r="G24" s="40"/>
      <c r="H24" s="41"/>
      <c r="I24" s="41"/>
      <c r="J24" s="41"/>
      <c r="K24" s="41"/>
      <c r="L24" s="41"/>
      <c r="M24" s="41"/>
      <c r="N24" s="41"/>
      <c r="O24" s="41"/>
      <c r="P24" s="42"/>
      <c r="Q24" s="42"/>
      <c r="R24" s="42"/>
      <c r="S24" s="48">
        <v>30.754726899999998</v>
      </c>
      <c r="T24" s="48">
        <v>30.754726899999998</v>
      </c>
      <c r="U24" s="49">
        <f>+IF(ISERR(T24/S24*100),"N/A",ROUND(T24/S24*100,1))</f>
        <v>100</v>
      </c>
    </row>
    <row r="25" spans="1:22" ht="14.85" customHeight="1" thickTop="1" thickBot="1" x14ac:dyDescent="0.25">
      <c r="B25" s="4" t="s">
        <v>87</v>
      </c>
      <c r="C25" s="5"/>
      <c r="D25" s="5"/>
      <c r="E25" s="5"/>
      <c r="F25" s="5"/>
      <c r="G25" s="5"/>
      <c r="H25" s="6"/>
      <c r="I25" s="6"/>
      <c r="J25" s="6"/>
      <c r="K25" s="6"/>
      <c r="L25" s="6"/>
      <c r="M25" s="6"/>
      <c r="N25" s="6"/>
      <c r="O25" s="6"/>
      <c r="P25" s="6"/>
      <c r="Q25" s="6"/>
      <c r="R25" s="6"/>
      <c r="S25" s="6"/>
      <c r="T25" s="6"/>
      <c r="U25" s="7"/>
    </row>
    <row r="26" spans="1:22" ht="44.25" customHeight="1" thickTop="1" x14ac:dyDescent="0.2">
      <c r="B26" s="89" t="s">
        <v>88</v>
      </c>
      <c r="C26" s="90"/>
      <c r="D26" s="90"/>
      <c r="E26" s="90"/>
      <c r="F26" s="90"/>
      <c r="G26" s="90"/>
      <c r="H26" s="90"/>
      <c r="I26" s="90"/>
      <c r="J26" s="90"/>
      <c r="K26" s="90"/>
      <c r="L26" s="90"/>
      <c r="M26" s="90"/>
      <c r="N26" s="90"/>
      <c r="O26" s="90"/>
      <c r="P26" s="90"/>
      <c r="Q26" s="90"/>
      <c r="R26" s="90"/>
      <c r="S26" s="90"/>
      <c r="T26" s="90"/>
      <c r="U26" s="91"/>
    </row>
    <row r="27" spans="1:22" ht="192.75" customHeight="1" x14ac:dyDescent="0.2">
      <c r="B27" s="96" t="s">
        <v>1118</v>
      </c>
      <c r="C27" s="97"/>
      <c r="D27" s="97"/>
      <c r="E27" s="97"/>
      <c r="F27" s="97"/>
      <c r="G27" s="97"/>
      <c r="H27" s="97"/>
      <c r="I27" s="97"/>
      <c r="J27" s="97"/>
      <c r="K27" s="97"/>
      <c r="L27" s="97"/>
      <c r="M27" s="97"/>
      <c r="N27" s="97"/>
      <c r="O27" s="97"/>
      <c r="P27" s="97"/>
      <c r="Q27" s="97"/>
      <c r="R27" s="97"/>
      <c r="S27" s="97"/>
      <c r="T27" s="97"/>
      <c r="U27" s="98"/>
    </row>
    <row r="28" spans="1:22" ht="107.25" customHeight="1" x14ac:dyDescent="0.2">
      <c r="B28" s="96" t="s">
        <v>1119</v>
      </c>
      <c r="C28" s="97"/>
      <c r="D28" s="97"/>
      <c r="E28" s="97"/>
      <c r="F28" s="97"/>
      <c r="G28" s="97"/>
      <c r="H28" s="97"/>
      <c r="I28" s="97"/>
      <c r="J28" s="97"/>
      <c r="K28" s="97"/>
      <c r="L28" s="97"/>
      <c r="M28" s="97"/>
      <c r="N28" s="97"/>
      <c r="O28" s="97"/>
      <c r="P28" s="97"/>
      <c r="Q28" s="97"/>
      <c r="R28" s="97"/>
      <c r="S28" s="97"/>
      <c r="T28" s="97"/>
      <c r="U28" s="98"/>
    </row>
    <row r="29" spans="1:22" ht="100.5" customHeight="1" x14ac:dyDescent="0.2">
      <c r="B29" s="96" t="s">
        <v>1120</v>
      </c>
      <c r="C29" s="97"/>
      <c r="D29" s="97"/>
      <c r="E29" s="97"/>
      <c r="F29" s="97"/>
      <c r="G29" s="97"/>
      <c r="H29" s="97"/>
      <c r="I29" s="97"/>
      <c r="J29" s="97"/>
      <c r="K29" s="97"/>
      <c r="L29" s="97"/>
      <c r="M29" s="97"/>
      <c r="N29" s="97"/>
      <c r="O29" s="97"/>
      <c r="P29" s="97"/>
      <c r="Q29" s="97"/>
      <c r="R29" s="97"/>
      <c r="S29" s="97"/>
      <c r="T29" s="97"/>
      <c r="U29" s="98"/>
    </row>
    <row r="30" spans="1:22" ht="118.7" customHeight="1" x14ac:dyDescent="0.2">
      <c r="B30" s="96" t="s">
        <v>1121</v>
      </c>
      <c r="C30" s="97"/>
      <c r="D30" s="97"/>
      <c r="E30" s="97"/>
      <c r="F30" s="97"/>
      <c r="G30" s="97"/>
      <c r="H30" s="97"/>
      <c r="I30" s="97"/>
      <c r="J30" s="97"/>
      <c r="K30" s="97"/>
      <c r="L30" s="97"/>
      <c r="M30" s="97"/>
      <c r="N30" s="97"/>
      <c r="O30" s="97"/>
      <c r="P30" s="97"/>
      <c r="Q30" s="97"/>
      <c r="R30" s="97"/>
      <c r="S30" s="97"/>
      <c r="T30" s="97"/>
      <c r="U30" s="98"/>
    </row>
    <row r="31" spans="1:22" ht="94.7" customHeight="1" x14ac:dyDescent="0.2">
      <c r="B31" s="96" t="s">
        <v>1122</v>
      </c>
      <c r="C31" s="97"/>
      <c r="D31" s="97"/>
      <c r="E31" s="97"/>
      <c r="F31" s="97"/>
      <c r="G31" s="97"/>
      <c r="H31" s="97"/>
      <c r="I31" s="97"/>
      <c r="J31" s="97"/>
      <c r="K31" s="97"/>
      <c r="L31" s="97"/>
      <c r="M31" s="97"/>
      <c r="N31" s="97"/>
      <c r="O31" s="97"/>
      <c r="P31" s="97"/>
      <c r="Q31" s="97"/>
      <c r="R31" s="97"/>
      <c r="S31" s="97"/>
      <c r="T31" s="97"/>
      <c r="U31" s="98"/>
    </row>
    <row r="32" spans="1:22" ht="101.45" customHeight="1" x14ac:dyDescent="0.2">
      <c r="B32" s="96" t="s">
        <v>1123</v>
      </c>
      <c r="C32" s="97"/>
      <c r="D32" s="97"/>
      <c r="E32" s="97"/>
      <c r="F32" s="97"/>
      <c r="G32" s="97"/>
      <c r="H32" s="97"/>
      <c r="I32" s="97"/>
      <c r="J32" s="97"/>
      <c r="K32" s="97"/>
      <c r="L32" s="97"/>
      <c r="M32" s="97"/>
      <c r="N32" s="97"/>
      <c r="O32" s="97"/>
      <c r="P32" s="97"/>
      <c r="Q32" s="97"/>
      <c r="R32" s="97"/>
      <c r="S32" s="97"/>
      <c r="T32" s="97"/>
      <c r="U32" s="98"/>
    </row>
    <row r="33" spans="2:21" ht="130.69999999999999" customHeight="1" x14ac:dyDescent="0.2">
      <c r="B33" s="96" t="s">
        <v>1124</v>
      </c>
      <c r="C33" s="97"/>
      <c r="D33" s="97"/>
      <c r="E33" s="97"/>
      <c r="F33" s="97"/>
      <c r="G33" s="97"/>
      <c r="H33" s="97"/>
      <c r="I33" s="97"/>
      <c r="J33" s="97"/>
      <c r="K33" s="97"/>
      <c r="L33" s="97"/>
      <c r="M33" s="97"/>
      <c r="N33" s="97"/>
      <c r="O33" s="97"/>
      <c r="P33" s="97"/>
      <c r="Q33" s="97"/>
      <c r="R33" s="97"/>
      <c r="S33" s="97"/>
      <c r="T33" s="97"/>
      <c r="U33" s="98"/>
    </row>
    <row r="34" spans="2:21" ht="135.75" customHeight="1" x14ac:dyDescent="0.2">
      <c r="B34" s="96" t="s">
        <v>1125</v>
      </c>
      <c r="C34" s="97"/>
      <c r="D34" s="97"/>
      <c r="E34" s="97"/>
      <c r="F34" s="97"/>
      <c r="G34" s="97"/>
      <c r="H34" s="97"/>
      <c r="I34" s="97"/>
      <c r="J34" s="97"/>
      <c r="K34" s="97"/>
      <c r="L34" s="97"/>
      <c r="M34" s="97"/>
      <c r="N34" s="97"/>
      <c r="O34" s="97"/>
      <c r="P34" s="97"/>
      <c r="Q34" s="97"/>
      <c r="R34" s="97"/>
      <c r="S34" s="97"/>
      <c r="T34" s="97"/>
      <c r="U34" s="98"/>
    </row>
    <row r="35" spans="2:21" ht="96.95" customHeight="1" thickBot="1" x14ac:dyDescent="0.25">
      <c r="B35" s="99" t="s">
        <v>1126</v>
      </c>
      <c r="C35" s="100"/>
      <c r="D35" s="100"/>
      <c r="E35" s="100"/>
      <c r="F35" s="100"/>
      <c r="G35" s="100"/>
      <c r="H35" s="100"/>
      <c r="I35" s="100"/>
      <c r="J35" s="100"/>
      <c r="K35" s="100"/>
      <c r="L35" s="100"/>
      <c r="M35" s="100"/>
      <c r="N35" s="100"/>
      <c r="O35" s="100"/>
      <c r="P35" s="100"/>
      <c r="Q35" s="100"/>
      <c r="R35" s="100"/>
      <c r="S35" s="100"/>
      <c r="T35" s="100"/>
      <c r="U35" s="101"/>
    </row>
  </sheetData>
  <mergeCells count="60">
    <mergeCell ref="B35:U35"/>
    <mergeCell ref="B23:D23"/>
    <mergeCell ref="B24:D24"/>
    <mergeCell ref="B26:U26"/>
    <mergeCell ref="B27:U27"/>
    <mergeCell ref="B28:U28"/>
    <mergeCell ref="B29:U29"/>
    <mergeCell ref="B30:U30"/>
    <mergeCell ref="B31:U31"/>
    <mergeCell ref="B32:U32"/>
    <mergeCell ref="B33:U33"/>
    <mergeCell ref="B34:U34"/>
    <mergeCell ref="C18:H18"/>
    <mergeCell ref="I18:K18"/>
    <mergeCell ref="L18:O18"/>
    <mergeCell ref="C19:H19"/>
    <mergeCell ref="I19:K19"/>
    <mergeCell ref="L19:O19"/>
    <mergeCell ref="C16:H16"/>
    <mergeCell ref="I16:K16"/>
    <mergeCell ref="L16:O16"/>
    <mergeCell ref="C17:H17"/>
    <mergeCell ref="I17:K17"/>
    <mergeCell ref="L17:O17"/>
    <mergeCell ref="C14:H14"/>
    <mergeCell ref="I14:K14"/>
    <mergeCell ref="L14:O14"/>
    <mergeCell ref="C15:H15"/>
    <mergeCell ref="I15:K15"/>
    <mergeCell ref="L15:O15"/>
    <mergeCell ref="C12:H12"/>
    <mergeCell ref="I12:K12"/>
    <mergeCell ref="L12:O12"/>
    <mergeCell ref="C13:H13"/>
    <mergeCell ref="I13:K13"/>
    <mergeCell ref="L13:O13"/>
    <mergeCell ref="C11:H11"/>
    <mergeCell ref="I11:K11"/>
    <mergeCell ref="L11:O11"/>
    <mergeCell ref="C6:G6"/>
    <mergeCell ref="K6:M6"/>
    <mergeCell ref="P6:Q6"/>
    <mergeCell ref="T6:U6"/>
    <mergeCell ref="B8:B10"/>
    <mergeCell ref="C8:H10"/>
    <mergeCell ref="I8:S8"/>
    <mergeCell ref="T8:U8"/>
    <mergeCell ref="I9:K10"/>
    <mergeCell ref="L9:O10"/>
    <mergeCell ref="P9:P10"/>
    <mergeCell ref="Q9:Q10"/>
    <mergeCell ref="R9:S9"/>
    <mergeCell ref="T9:T10"/>
    <mergeCell ref="U9:U10"/>
    <mergeCell ref="B5:U5"/>
    <mergeCell ref="B1:L1"/>
    <mergeCell ref="D4:H4"/>
    <mergeCell ref="L4:O4"/>
    <mergeCell ref="Q4:R4"/>
    <mergeCell ref="T4:U4"/>
  </mergeCells>
  <printOptions horizontalCentered="1"/>
  <pageMargins left="0.78740157480314965" right="0.78740157480314965" top="0.98425196850393704" bottom="0.98425196850393704" header="0" footer="0.39370078740157483"/>
  <pageSetup scale="60" fitToHeight="10" orientation="landscape" r:id="rId1"/>
  <headerFooter>
    <oddFooter>&amp;R&amp;P de &amp;N</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35"/>
  <sheetViews>
    <sheetView view="pageBreakPreview" topLeftCell="A4" zoomScale="80" zoomScaleNormal="80" zoomScaleSheetLayoutView="80" workbookViewId="0">
      <selection activeCell="T12" sqref="T12:U12"/>
    </sheetView>
  </sheetViews>
  <sheetFormatPr baseColWidth="10" defaultColWidth="10" defaultRowHeight="12.75" x14ac:dyDescent="0.2"/>
  <cols>
    <col min="1" max="1" width="3.5" style="1" customWidth="1"/>
    <col min="2" max="2" width="14.7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9.625" style="1" customWidth="1"/>
    <col min="19" max="19" width="13" style="1" customWidth="1"/>
    <col min="20" max="20" width="10.75" style="1" customWidth="1"/>
    <col min="21" max="21" width="11.37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50" t="s">
        <v>0</v>
      </c>
      <c r="C1" s="50"/>
      <c r="D1" s="50"/>
      <c r="E1" s="50"/>
      <c r="F1" s="50"/>
      <c r="G1" s="50"/>
      <c r="H1" s="50"/>
      <c r="I1" s="50"/>
      <c r="J1" s="50"/>
      <c r="K1" s="50"/>
      <c r="L1" s="50"/>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51.75" customHeight="1" thickTop="1" x14ac:dyDescent="0.2">
      <c r="B4" s="8" t="s">
        <v>6</v>
      </c>
      <c r="C4" s="9" t="s">
        <v>1127</v>
      </c>
      <c r="D4" s="57" t="s">
        <v>1128</v>
      </c>
      <c r="E4" s="57"/>
      <c r="F4" s="57"/>
      <c r="G4" s="57"/>
      <c r="H4" s="57"/>
      <c r="I4" s="10"/>
      <c r="J4" s="11" t="s">
        <v>9</v>
      </c>
      <c r="K4" s="12" t="s">
        <v>10</v>
      </c>
      <c r="L4" s="58" t="s">
        <v>11</v>
      </c>
      <c r="M4" s="58"/>
      <c r="N4" s="58"/>
      <c r="O4" s="58"/>
      <c r="P4" s="11" t="s">
        <v>12</v>
      </c>
      <c r="Q4" s="58" t="s">
        <v>188</v>
      </c>
      <c r="R4" s="58"/>
      <c r="S4" s="11" t="s">
        <v>14</v>
      </c>
      <c r="T4" s="58"/>
      <c r="U4" s="59"/>
    </row>
    <row r="5" spans="1:21" ht="15.75" customHeight="1" x14ac:dyDescent="0.2">
      <c r="B5" s="54" t="s">
        <v>15</v>
      </c>
      <c r="C5" s="55"/>
      <c r="D5" s="55"/>
      <c r="E5" s="55"/>
      <c r="F5" s="55"/>
      <c r="G5" s="55"/>
      <c r="H5" s="55"/>
      <c r="I5" s="55"/>
      <c r="J5" s="55"/>
      <c r="K5" s="55"/>
      <c r="L5" s="55"/>
      <c r="M5" s="55"/>
      <c r="N5" s="55"/>
      <c r="O5" s="55"/>
      <c r="P5" s="55"/>
      <c r="Q5" s="55"/>
      <c r="R5" s="55"/>
      <c r="S5" s="55"/>
      <c r="T5" s="55"/>
      <c r="U5" s="56"/>
    </row>
    <row r="6" spans="1:21" ht="43.5" customHeight="1" thickBot="1" x14ac:dyDescent="0.25">
      <c r="B6" s="13" t="s">
        <v>16</v>
      </c>
      <c r="C6" s="60" t="s">
        <v>17</v>
      </c>
      <c r="D6" s="60"/>
      <c r="E6" s="60"/>
      <c r="F6" s="60"/>
      <c r="G6" s="60"/>
      <c r="H6" s="14"/>
      <c r="I6" s="14"/>
      <c r="J6" s="14" t="s">
        <v>18</v>
      </c>
      <c r="K6" s="60" t="s">
        <v>189</v>
      </c>
      <c r="L6" s="60"/>
      <c r="M6" s="60"/>
      <c r="N6" s="15"/>
      <c r="O6" s="16" t="s">
        <v>20</v>
      </c>
      <c r="P6" s="60" t="s">
        <v>190</v>
      </c>
      <c r="Q6" s="60"/>
      <c r="R6" s="17"/>
      <c r="S6" s="16" t="s">
        <v>22</v>
      </c>
      <c r="T6" s="60" t="s">
        <v>191</v>
      </c>
      <c r="U6" s="61"/>
    </row>
    <row r="7" spans="1:21" ht="14.25" customHeight="1" thickTop="1" thickBot="1" x14ac:dyDescent="0.25">
      <c r="B7" s="4" t="s">
        <v>24</v>
      </c>
      <c r="C7" s="5"/>
      <c r="D7" s="5"/>
      <c r="E7" s="5"/>
      <c r="F7" s="5"/>
      <c r="G7" s="5"/>
      <c r="H7" s="6"/>
      <c r="I7" s="6"/>
      <c r="J7" s="6"/>
      <c r="K7" s="6"/>
      <c r="L7" s="6"/>
      <c r="M7" s="6"/>
      <c r="N7" s="6"/>
      <c r="O7" s="6"/>
      <c r="P7" s="6"/>
      <c r="Q7" s="6"/>
      <c r="R7" s="6"/>
      <c r="S7" s="6"/>
      <c r="T7" s="6"/>
      <c r="U7" s="7"/>
    </row>
    <row r="8" spans="1:21" ht="16.5" customHeight="1" thickTop="1" x14ac:dyDescent="0.2">
      <c r="B8" s="62" t="s">
        <v>25</v>
      </c>
      <c r="C8" s="65" t="s">
        <v>26</v>
      </c>
      <c r="D8" s="66"/>
      <c r="E8" s="66"/>
      <c r="F8" s="66"/>
      <c r="G8" s="66"/>
      <c r="H8" s="67"/>
      <c r="I8" s="74" t="s">
        <v>27</v>
      </c>
      <c r="J8" s="75"/>
      <c r="K8" s="75"/>
      <c r="L8" s="75"/>
      <c r="M8" s="75"/>
      <c r="N8" s="75"/>
      <c r="O8" s="75"/>
      <c r="P8" s="75"/>
      <c r="Q8" s="75"/>
      <c r="R8" s="75"/>
      <c r="S8" s="76"/>
      <c r="T8" s="77" t="s">
        <v>28</v>
      </c>
      <c r="U8" s="78"/>
    </row>
    <row r="9" spans="1:21" ht="19.5" customHeight="1" x14ac:dyDescent="0.2">
      <c r="B9" s="63"/>
      <c r="C9" s="68"/>
      <c r="D9" s="69"/>
      <c r="E9" s="69"/>
      <c r="F9" s="69"/>
      <c r="G9" s="69"/>
      <c r="H9" s="70"/>
      <c r="I9" s="79" t="s">
        <v>29</v>
      </c>
      <c r="J9" s="80"/>
      <c r="K9" s="80"/>
      <c r="L9" s="80" t="s">
        <v>30</v>
      </c>
      <c r="M9" s="80"/>
      <c r="N9" s="80"/>
      <c r="O9" s="80"/>
      <c r="P9" s="80" t="s">
        <v>31</v>
      </c>
      <c r="Q9" s="80" t="s">
        <v>32</v>
      </c>
      <c r="R9" s="83" t="s">
        <v>33</v>
      </c>
      <c r="S9" s="84"/>
      <c r="T9" s="80" t="s">
        <v>34</v>
      </c>
      <c r="U9" s="85" t="s">
        <v>35</v>
      </c>
    </row>
    <row r="10" spans="1:21" ht="26.25" customHeight="1" thickBot="1" x14ac:dyDescent="0.25">
      <c r="B10" s="64"/>
      <c r="C10" s="71"/>
      <c r="D10" s="72"/>
      <c r="E10" s="72"/>
      <c r="F10" s="72"/>
      <c r="G10" s="72"/>
      <c r="H10" s="73"/>
      <c r="I10" s="81"/>
      <c r="J10" s="82"/>
      <c r="K10" s="82"/>
      <c r="L10" s="82"/>
      <c r="M10" s="82"/>
      <c r="N10" s="82"/>
      <c r="O10" s="82"/>
      <c r="P10" s="82"/>
      <c r="Q10" s="82"/>
      <c r="R10" s="19" t="s">
        <v>36</v>
      </c>
      <c r="S10" s="20" t="s">
        <v>37</v>
      </c>
      <c r="T10" s="82"/>
      <c r="U10" s="86"/>
    </row>
    <row r="11" spans="1:21" ht="129" customHeight="1" thickTop="1" thickBot="1" x14ac:dyDescent="0.25">
      <c r="A11" s="21"/>
      <c r="B11" s="22" t="s">
        <v>38</v>
      </c>
      <c r="C11" s="87" t="s">
        <v>1129</v>
      </c>
      <c r="D11" s="87"/>
      <c r="E11" s="87"/>
      <c r="F11" s="87"/>
      <c r="G11" s="87"/>
      <c r="H11" s="87"/>
      <c r="I11" s="87" t="s">
        <v>1130</v>
      </c>
      <c r="J11" s="87"/>
      <c r="K11" s="87"/>
      <c r="L11" s="87" t="s">
        <v>1131</v>
      </c>
      <c r="M11" s="87"/>
      <c r="N11" s="87"/>
      <c r="O11" s="87"/>
      <c r="P11" s="23" t="s">
        <v>471</v>
      </c>
      <c r="Q11" s="23" t="s">
        <v>49</v>
      </c>
      <c r="R11" s="23">
        <v>103.29</v>
      </c>
      <c r="S11" s="23">
        <v>103.29</v>
      </c>
      <c r="T11" s="23">
        <v>89.2</v>
      </c>
      <c r="U11" s="45">
        <f>86.32</f>
        <v>86.32</v>
      </c>
    </row>
    <row r="12" spans="1:21" ht="121.5" customHeight="1" thickTop="1" thickBot="1" x14ac:dyDescent="0.25">
      <c r="A12" s="21"/>
      <c r="B12" s="22" t="s">
        <v>44</v>
      </c>
      <c r="C12" s="87" t="s">
        <v>1132</v>
      </c>
      <c r="D12" s="87"/>
      <c r="E12" s="87"/>
      <c r="F12" s="87"/>
      <c r="G12" s="87"/>
      <c r="H12" s="87"/>
      <c r="I12" s="87" t="s">
        <v>1133</v>
      </c>
      <c r="J12" s="87"/>
      <c r="K12" s="87"/>
      <c r="L12" s="87" t="s">
        <v>1134</v>
      </c>
      <c r="M12" s="87"/>
      <c r="N12" s="87"/>
      <c r="O12" s="87"/>
      <c r="P12" s="23" t="s">
        <v>48</v>
      </c>
      <c r="Q12" s="23" t="s">
        <v>43</v>
      </c>
      <c r="R12" s="23">
        <v>3.45</v>
      </c>
      <c r="S12" s="23">
        <v>3.45</v>
      </c>
      <c r="T12" s="104">
        <v>31.04</v>
      </c>
      <c r="U12" s="105">
        <v>66.66</v>
      </c>
    </row>
    <row r="13" spans="1:21" ht="101.25" customHeight="1" thickTop="1" thickBot="1" x14ac:dyDescent="0.25">
      <c r="A13" s="21"/>
      <c r="B13" s="22" t="s">
        <v>50</v>
      </c>
      <c r="C13" s="87" t="s">
        <v>1135</v>
      </c>
      <c r="D13" s="87"/>
      <c r="E13" s="87"/>
      <c r="F13" s="87"/>
      <c r="G13" s="87"/>
      <c r="H13" s="87"/>
      <c r="I13" s="87" t="s">
        <v>1136</v>
      </c>
      <c r="J13" s="87"/>
      <c r="K13" s="87"/>
      <c r="L13" s="87" t="s">
        <v>1137</v>
      </c>
      <c r="M13" s="87"/>
      <c r="N13" s="87"/>
      <c r="O13" s="87"/>
      <c r="P13" s="23" t="s">
        <v>48</v>
      </c>
      <c r="Q13" s="23" t="s">
        <v>43</v>
      </c>
      <c r="R13" s="23">
        <v>90.91</v>
      </c>
      <c r="S13" s="23">
        <v>90.91</v>
      </c>
      <c r="T13" s="23">
        <v>103.03</v>
      </c>
      <c r="U13" s="45">
        <f>113.3</f>
        <v>113.3</v>
      </c>
    </row>
    <row r="14" spans="1:21" ht="75" customHeight="1" thickTop="1" x14ac:dyDescent="0.2">
      <c r="A14" s="21"/>
      <c r="B14" s="22" t="s">
        <v>61</v>
      </c>
      <c r="C14" s="87" t="s">
        <v>1138</v>
      </c>
      <c r="D14" s="87"/>
      <c r="E14" s="87"/>
      <c r="F14" s="87"/>
      <c r="G14" s="87"/>
      <c r="H14" s="87"/>
      <c r="I14" s="87" t="s">
        <v>1139</v>
      </c>
      <c r="J14" s="87"/>
      <c r="K14" s="87"/>
      <c r="L14" s="87" t="s">
        <v>1140</v>
      </c>
      <c r="M14" s="87"/>
      <c r="N14" s="87"/>
      <c r="O14" s="87"/>
      <c r="P14" s="23" t="s">
        <v>48</v>
      </c>
      <c r="Q14" s="23" t="s">
        <v>134</v>
      </c>
      <c r="R14" s="23">
        <v>80</v>
      </c>
      <c r="S14" s="23">
        <v>80</v>
      </c>
      <c r="T14" s="23">
        <v>56.67</v>
      </c>
      <c r="U14" s="45">
        <f>70.84</f>
        <v>70.84</v>
      </c>
    </row>
    <row r="15" spans="1:21" ht="75" customHeight="1" x14ac:dyDescent="0.2">
      <c r="A15" s="21"/>
      <c r="B15" s="24" t="s">
        <v>55</v>
      </c>
      <c r="C15" s="88" t="s">
        <v>1141</v>
      </c>
      <c r="D15" s="88"/>
      <c r="E15" s="88"/>
      <c r="F15" s="88"/>
      <c r="G15" s="88"/>
      <c r="H15" s="88"/>
      <c r="I15" s="88" t="s">
        <v>1142</v>
      </c>
      <c r="J15" s="88"/>
      <c r="K15" s="88"/>
      <c r="L15" s="88" t="s">
        <v>1143</v>
      </c>
      <c r="M15" s="88"/>
      <c r="N15" s="88"/>
      <c r="O15" s="88"/>
      <c r="P15" s="25" t="s">
        <v>48</v>
      </c>
      <c r="Q15" s="25" t="s">
        <v>535</v>
      </c>
      <c r="R15" s="25">
        <v>100</v>
      </c>
      <c r="S15" s="25">
        <v>100</v>
      </c>
      <c r="T15" s="25">
        <v>73.56</v>
      </c>
      <c r="U15" s="46">
        <f>73.56</f>
        <v>73.56</v>
      </c>
    </row>
    <row r="16" spans="1:21" ht="75" customHeight="1" x14ac:dyDescent="0.2">
      <c r="A16" s="21"/>
      <c r="B16" s="24" t="s">
        <v>55</v>
      </c>
      <c r="C16" s="88" t="s">
        <v>55</v>
      </c>
      <c r="D16" s="88"/>
      <c r="E16" s="88"/>
      <c r="F16" s="88"/>
      <c r="G16" s="88"/>
      <c r="H16" s="88"/>
      <c r="I16" s="88" t="s">
        <v>1144</v>
      </c>
      <c r="J16" s="88"/>
      <c r="K16" s="88"/>
      <c r="L16" s="88" t="s">
        <v>1145</v>
      </c>
      <c r="M16" s="88"/>
      <c r="N16" s="88"/>
      <c r="O16" s="88"/>
      <c r="P16" s="25" t="s">
        <v>48</v>
      </c>
      <c r="Q16" s="25" t="s">
        <v>535</v>
      </c>
      <c r="R16" s="25">
        <v>100</v>
      </c>
      <c r="S16" s="25">
        <v>100</v>
      </c>
      <c r="T16" s="25">
        <v>73.56</v>
      </c>
      <c r="U16" s="46">
        <f>73.56</f>
        <v>73.56</v>
      </c>
    </row>
    <row r="17" spans="1:22" ht="75" customHeight="1" x14ac:dyDescent="0.2">
      <c r="A17" s="21"/>
      <c r="B17" s="24" t="s">
        <v>55</v>
      </c>
      <c r="C17" s="88" t="s">
        <v>55</v>
      </c>
      <c r="D17" s="88"/>
      <c r="E17" s="88"/>
      <c r="F17" s="88"/>
      <c r="G17" s="88"/>
      <c r="H17" s="88"/>
      <c r="I17" s="88" t="s">
        <v>1146</v>
      </c>
      <c r="J17" s="88"/>
      <c r="K17" s="88"/>
      <c r="L17" s="88" t="s">
        <v>1147</v>
      </c>
      <c r="M17" s="88"/>
      <c r="N17" s="88"/>
      <c r="O17" s="88"/>
      <c r="P17" s="25" t="s">
        <v>48</v>
      </c>
      <c r="Q17" s="25" t="s">
        <v>134</v>
      </c>
      <c r="R17" s="25">
        <v>107.98</v>
      </c>
      <c r="S17" s="25">
        <v>107.98</v>
      </c>
      <c r="T17" s="25">
        <v>89.2</v>
      </c>
      <c r="U17" s="46">
        <f>82.61</f>
        <v>82.61</v>
      </c>
    </row>
    <row r="18" spans="1:22" ht="75" customHeight="1" x14ac:dyDescent="0.2">
      <c r="A18" s="21"/>
      <c r="B18" s="24" t="s">
        <v>55</v>
      </c>
      <c r="C18" s="88" t="s">
        <v>1148</v>
      </c>
      <c r="D18" s="88"/>
      <c r="E18" s="88"/>
      <c r="F18" s="88"/>
      <c r="G18" s="88"/>
      <c r="H18" s="88"/>
      <c r="I18" s="88" t="s">
        <v>1149</v>
      </c>
      <c r="J18" s="88"/>
      <c r="K18" s="88"/>
      <c r="L18" s="88" t="s">
        <v>1150</v>
      </c>
      <c r="M18" s="88"/>
      <c r="N18" s="88"/>
      <c r="O18" s="88"/>
      <c r="P18" s="25" t="s">
        <v>48</v>
      </c>
      <c r="Q18" s="25" t="s">
        <v>134</v>
      </c>
      <c r="R18" s="25">
        <v>95.45</v>
      </c>
      <c r="S18" s="25">
        <v>95.45</v>
      </c>
      <c r="T18" s="25">
        <v>75</v>
      </c>
      <c r="U18" s="46">
        <f>78.58</f>
        <v>78.58</v>
      </c>
    </row>
    <row r="19" spans="1:22" ht="75" customHeight="1" thickBot="1" x14ac:dyDescent="0.25">
      <c r="A19" s="21"/>
      <c r="B19" s="24" t="s">
        <v>55</v>
      </c>
      <c r="C19" s="88" t="s">
        <v>55</v>
      </c>
      <c r="D19" s="88"/>
      <c r="E19" s="88"/>
      <c r="F19" s="88"/>
      <c r="G19" s="88"/>
      <c r="H19" s="88"/>
      <c r="I19" s="88" t="s">
        <v>1151</v>
      </c>
      <c r="J19" s="88"/>
      <c r="K19" s="88"/>
      <c r="L19" s="88" t="s">
        <v>1152</v>
      </c>
      <c r="M19" s="88"/>
      <c r="N19" s="88"/>
      <c r="O19" s="88"/>
      <c r="P19" s="25" t="s">
        <v>48</v>
      </c>
      <c r="Q19" s="25" t="s">
        <v>134</v>
      </c>
      <c r="R19" s="25">
        <v>107.91</v>
      </c>
      <c r="S19" s="25">
        <v>107.91</v>
      </c>
      <c r="T19" s="25">
        <v>89.21</v>
      </c>
      <c r="U19" s="46">
        <f>82.67</f>
        <v>82.67</v>
      </c>
    </row>
    <row r="20" spans="1:22" ht="14.25" customHeight="1" thickTop="1" thickBot="1" x14ac:dyDescent="0.25">
      <c r="B20" s="4" t="s">
        <v>80</v>
      </c>
      <c r="C20" s="5"/>
      <c r="D20" s="5"/>
      <c r="E20" s="5"/>
      <c r="F20" s="5"/>
      <c r="G20" s="5"/>
      <c r="H20" s="6"/>
      <c r="I20" s="6"/>
      <c r="J20" s="6"/>
      <c r="K20" s="6"/>
      <c r="L20" s="6"/>
      <c r="M20" s="6"/>
      <c r="N20" s="6"/>
      <c r="O20" s="6"/>
      <c r="P20" s="6"/>
      <c r="Q20" s="6"/>
      <c r="R20" s="6"/>
      <c r="S20" s="6"/>
      <c r="T20" s="6"/>
      <c r="U20" s="7"/>
      <c r="V20" s="26"/>
    </row>
    <row r="21" spans="1:22" ht="26.25" customHeight="1" thickTop="1" x14ac:dyDescent="0.2">
      <c r="B21" s="27"/>
      <c r="C21" s="28"/>
      <c r="D21" s="28"/>
      <c r="E21" s="28"/>
      <c r="F21" s="28"/>
      <c r="G21" s="28"/>
      <c r="H21" s="29"/>
      <c r="I21" s="29"/>
      <c r="J21" s="29"/>
      <c r="K21" s="29"/>
      <c r="L21" s="29"/>
      <c r="M21" s="29"/>
      <c r="N21" s="29"/>
      <c r="O21" s="29"/>
      <c r="P21" s="29"/>
      <c r="Q21" s="29"/>
      <c r="R21" s="30"/>
      <c r="S21" s="31" t="s">
        <v>33</v>
      </c>
      <c r="T21" s="31" t="s">
        <v>81</v>
      </c>
      <c r="U21" s="18" t="s">
        <v>82</v>
      </c>
    </row>
    <row r="22" spans="1:22" ht="26.25" customHeight="1" thickBot="1" x14ac:dyDescent="0.25">
      <c r="B22" s="32"/>
      <c r="C22" s="33"/>
      <c r="D22" s="33"/>
      <c r="E22" s="33"/>
      <c r="F22" s="33"/>
      <c r="G22" s="33"/>
      <c r="H22" s="34"/>
      <c r="I22" s="34"/>
      <c r="J22" s="34"/>
      <c r="K22" s="34"/>
      <c r="L22" s="34"/>
      <c r="M22" s="34"/>
      <c r="N22" s="34"/>
      <c r="O22" s="34"/>
      <c r="P22" s="34"/>
      <c r="Q22" s="34"/>
      <c r="R22" s="34"/>
      <c r="S22" s="35" t="s">
        <v>83</v>
      </c>
      <c r="T22" s="36" t="s">
        <v>83</v>
      </c>
      <c r="U22" s="36" t="s">
        <v>84</v>
      </c>
    </row>
    <row r="23" spans="1:22" ht="13.5" customHeight="1" thickBot="1" x14ac:dyDescent="0.25">
      <c r="B23" s="92" t="s">
        <v>85</v>
      </c>
      <c r="C23" s="93"/>
      <c r="D23" s="93"/>
      <c r="E23" s="37"/>
      <c r="F23" s="37"/>
      <c r="G23" s="37"/>
      <c r="H23" s="38"/>
      <c r="I23" s="38"/>
      <c r="J23" s="38"/>
      <c r="K23" s="38"/>
      <c r="L23" s="38"/>
      <c r="M23" s="38"/>
      <c r="N23" s="38"/>
      <c r="O23" s="38"/>
      <c r="P23" s="39"/>
      <c r="Q23" s="39"/>
      <c r="R23" s="39"/>
      <c r="S23" s="48">
        <v>27.481072999999999</v>
      </c>
      <c r="T23" s="48">
        <v>20.00701935</v>
      </c>
      <c r="U23" s="49">
        <f>+IF(ISERR(T23/S23*100),"N/A",ROUND(T23/S23*100,1))</f>
        <v>72.8</v>
      </c>
    </row>
    <row r="24" spans="1:22" ht="13.5" customHeight="1" thickBot="1" x14ac:dyDescent="0.25">
      <c r="B24" s="94" t="s">
        <v>86</v>
      </c>
      <c r="C24" s="95"/>
      <c r="D24" s="95"/>
      <c r="E24" s="40"/>
      <c r="F24" s="40"/>
      <c r="G24" s="40"/>
      <c r="H24" s="41"/>
      <c r="I24" s="41"/>
      <c r="J24" s="41"/>
      <c r="K24" s="41"/>
      <c r="L24" s="41"/>
      <c r="M24" s="41"/>
      <c r="N24" s="41"/>
      <c r="O24" s="41"/>
      <c r="P24" s="42"/>
      <c r="Q24" s="42"/>
      <c r="R24" s="42"/>
      <c r="S24" s="48">
        <v>20.00701935</v>
      </c>
      <c r="T24" s="48">
        <v>20.00701935</v>
      </c>
      <c r="U24" s="49">
        <f>+IF(ISERR(T24/S24*100),"N/A",ROUND(T24/S24*100,1))</f>
        <v>100</v>
      </c>
    </row>
    <row r="25" spans="1:22" ht="14.85" customHeight="1" thickTop="1" thickBot="1" x14ac:dyDescent="0.25">
      <c r="B25" s="4" t="s">
        <v>87</v>
      </c>
      <c r="C25" s="5"/>
      <c r="D25" s="5"/>
      <c r="E25" s="5"/>
      <c r="F25" s="5"/>
      <c r="G25" s="5"/>
      <c r="H25" s="6"/>
      <c r="I25" s="6"/>
      <c r="J25" s="6"/>
      <c r="K25" s="6"/>
      <c r="L25" s="6"/>
      <c r="M25" s="6"/>
      <c r="N25" s="6"/>
      <c r="O25" s="6"/>
      <c r="P25" s="6"/>
      <c r="Q25" s="6"/>
      <c r="R25" s="6"/>
      <c r="S25" s="6"/>
      <c r="T25" s="6"/>
      <c r="U25" s="7"/>
    </row>
    <row r="26" spans="1:22" ht="44.25" customHeight="1" thickTop="1" x14ac:dyDescent="0.2">
      <c r="B26" s="89" t="s">
        <v>88</v>
      </c>
      <c r="C26" s="90"/>
      <c r="D26" s="90"/>
      <c r="E26" s="90"/>
      <c r="F26" s="90"/>
      <c r="G26" s="90"/>
      <c r="H26" s="90"/>
      <c r="I26" s="90"/>
      <c r="J26" s="90"/>
      <c r="K26" s="90"/>
      <c r="L26" s="90"/>
      <c r="M26" s="90"/>
      <c r="N26" s="90"/>
      <c r="O26" s="90"/>
      <c r="P26" s="90"/>
      <c r="Q26" s="90"/>
      <c r="R26" s="90"/>
      <c r="S26" s="90"/>
      <c r="T26" s="90"/>
      <c r="U26" s="91"/>
    </row>
    <row r="27" spans="1:22" ht="177.75" customHeight="1" x14ac:dyDescent="0.2">
      <c r="B27" s="96" t="s">
        <v>1153</v>
      </c>
      <c r="C27" s="97"/>
      <c r="D27" s="97"/>
      <c r="E27" s="97"/>
      <c r="F27" s="97"/>
      <c r="G27" s="97"/>
      <c r="H27" s="97"/>
      <c r="I27" s="97"/>
      <c r="J27" s="97"/>
      <c r="K27" s="97"/>
      <c r="L27" s="97"/>
      <c r="M27" s="97"/>
      <c r="N27" s="97"/>
      <c r="O27" s="97"/>
      <c r="P27" s="97"/>
      <c r="Q27" s="97"/>
      <c r="R27" s="97"/>
      <c r="S27" s="97"/>
      <c r="T27" s="97"/>
      <c r="U27" s="98"/>
    </row>
    <row r="28" spans="1:22" ht="247.5" customHeight="1" x14ac:dyDescent="0.2">
      <c r="B28" s="96" t="s">
        <v>1154</v>
      </c>
      <c r="C28" s="97"/>
      <c r="D28" s="97"/>
      <c r="E28" s="97"/>
      <c r="F28" s="97"/>
      <c r="G28" s="97"/>
      <c r="H28" s="97"/>
      <c r="I28" s="97"/>
      <c r="J28" s="97"/>
      <c r="K28" s="97"/>
      <c r="L28" s="97"/>
      <c r="M28" s="97"/>
      <c r="N28" s="97"/>
      <c r="O28" s="97"/>
      <c r="P28" s="97"/>
      <c r="Q28" s="97"/>
      <c r="R28" s="97"/>
      <c r="S28" s="97"/>
      <c r="T28" s="97"/>
      <c r="U28" s="98"/>
    </row>
    <row r="29" spans="1:22" ht="160.5" customHeight="1" x14ac:dyDescent="0.2">
      <c r="B29" s="96" t="s">
        <v>1155</v>
      </c>
      <c r="C29" s="97"/>
      <c r="D29" s="97"/>
      <c r="E29" s="97"/>
      <c r="F29" s="97"/>
      <c r="G29" s="97"/>
      <c r="H29" s="97"/>
      <c r="I29" s="97"/>
      <c r="J29" s="97"/>
      <c r="K29" s="97"/>
      <c r="L29" s="97"/>
      <c r="M29" s="97"/>
      <c r="N29" s="97"/>
      <c r="O29" s="97"/>
      <c r="P29" s="97"/>
      <c r="Q29" s="97"/>
      <c r="R29" s="97"/>
      <c r="S29" s="97"/>
      <c r="T29" s="97"/>
      <c r="U29" s="98"/>
    </row>
    <row r="30" spans="1:22" ht="149.44999999999999" customHeight="1" x14ac:dyDescent="0.2">
      <c r="B30" s="96" t="s">
        <v>1156</v>
      </c>
      <c r="C30" s="97"/>
      <c r="D30" s="97"/>
      <c r="E30" s="97"/>
      <c r="F30" s="97"/>
      <c r="G30" s="97"/>
      <c r="H30" s="97"/>
      <c r="I30" s="97"/>
      <c r="J30" s="97"/>
      <c r="K30" s="97"/>
      <c r="L30" s="97"/>
      <c r="M30" s="97"/>
      <c r="N30" s="97"/>
      <c r="O30" s="97"/>
      <c r="P30" s="97"/>
      <c r="Q30" s="97"/>
      <c r="R30" s="97"/>
      <c r="S30" s="97"/>
      <c r="T30" s="97"/>
      <c r="U30" s="98"/>
    </row>
    <row r="31" spans="1:22" ht="183.75" customHeight="1" x14ac:dyDescent="0.2">
      <c r="B31" s="96" t="s">
        <v>1157</v>
      </c>
      <c r="C31" s="97"/>
      <c r="D31" s="97"/>
      <c r="E31" s="97"/>
      <c r="F31" s="97"/>
      <c r="G31" s="97"/>
      <c r="H31" s="97"/>
      <c r="I31" s="97"/>
      <c r="J31" s="97"/>
      <c r="K31" s="97"/>
      <c r="L31" s="97"/>
      <c r="M31" s="97"/>
      <c r="N31" s="97"/>
      <c r="O31" s="97"/>
      <c r="P31" s="97"/>
      <c r="Q31" s="97"/>
      <c r="R31" s="97"/>
      <c r="S31" s="97"/>
      <c r="T31" s="97"/>
      <c r="U31" s="98"/>
    </row>
    <row r="32" spans="1:22" ht="187.5" customHeight="1" x14ac:dyDescent="0.2">
      <c r="B32" s="96" t="s">
        <v>1158</v>
      </c>
      <c r="C32" s="97"/>
      <c r="D32" s="97"/>
      <c r="E32" s="97"/>
      <c r="F32" s="97"/>
      <c r="G32" s="97"/>
      <c r="H32" s="97"/>
      <c r="I32" s="97"/>
      <c r="J32" s="97"/>
      <c r="K32" s="97"/>
      <c r="L32" s="97"/>
      <c r="M32" s="97"/>
      <c r="N32" s="97"/>
      <c r="O32" s="97"/>
      <c r="P32" s="97"/>
      <c r="Q32" s="97"/>
      <c r="R32" s="97"/>
      <c r="S32" s="97"/>
      <c r="T32" s="97"/>
      <c r="U32" s="98"/>
    </row>
    <row r="33" spans="2:21" ht="183.75" customHeight="1" x14ac:dyDescent="0.2">
      <c r="B33" s="96" t="s">
        <v>1159</v>
      </c>
      <c r="C33" s="97"/>
      <c r="D33" s="97"/>
      <c r="E33" s="97"/>
      <c r="F33" s="97"/>
      <c r="G33" s="97"/>
      <c r="H33" s="97"/>
      <c r="I33" s="97"/>
      <c r="J33" s="97"/>
      <c r="K33" s="97"/>
      <c r="L33" s="97"/>
      <c r="M33" s="97"/>
      <c r="N33" s="97"/>
      <c r="O33" s="97"/>
      <c r="P33" s="97"/>
      <c r="Q33" s="97"/>
      <c r="R33" s="97"/>
      <c r="S33" s="97"/>
      <c r="T33" s="97"/>
      <c r="U33" s="98"/>
    </row>
    <row r="34" spans="2:21" ht="155.25" customHeight="1" x14ac:dyDescent="0.2">
      <c r="B34" s="96" t="s">
        <v>1160</v>
      </c>
      <c r="C34" s="97"/>
      <c r="D34" s="97"/>
      <c r="E34" s="97"/>
      <c r="F34" s="97"/>
      <c r="G34" s="97"/>
      <c r="H34" s="97"/>
      <c r="I34" s="97"/>
      <c r="J34" s="97"/>
      <c r="K34" s="97"/>
      <c r="L34" s="97"/>
      <c r="M34" s="97"/>
      <c r="N34" s="97"/>
      <c r="O34" s="97"/>
      <c r="P34" s="97"/>
      <c r="Q34" s="97"/>
      <c r="R34" s="97"/>
      <c r="S34" s="97"/>
      <c r="T34" s="97"/>
      <c r="U34" s="98"/>
    </row>
    <row r="35" spans="2:21" ht="162.75" customHeight="1" thickBot="1" x14ac:dyDescent="0.25">
      <c r="B35" s="99" t="s">
        <v>1161</v>
      </c>
      <c r="C35" s="100"/>
      <c r="D35" s="100"/>
      <c r="E35" s="100"/>
      <c r="F35" s="100"/>
      <c r="G35" s="100"/>
      <c r="H35" s="100"/>
      <c r="I35" s="100"/>
      <c r="J35" s="100"/>
      <c r="K35" s="100"/>
      <c r="L35" s="100"/>
      <c r="M35" s="100"/>
      <c r="N35" s="100"/>
      <c r="O35" s="100"/>
      <c r="P35" s="100"/>
      <c r="Q35" s="100"/>
      <c r="R35" s="100"/>
      <c r="S35" s="100"/>
      <c r="T35" s="100"/>
      <c r="U35" s="101"/>
    </row>
  </sheetData>
  <mergeCells count="60">
    <mergeCell ref="B35:U35"/>
    <mergeCell ref="B23:D23"/>
    <mergeCell ref="B24:D24"/>
    <mergeCell ref="B26:U26"/>
    <mergeCell ref="B27:U27"/>
    <mergeCell ref="B28:U28"/>
    <mergeCell ref="B29:U29"/>
    <mergeCell ref="B30:U30"/>
    <mergeCell ref="B31:U31"/>
    <mergeCell ref="B32:U32"/>
    <mergeCell ref="B33:U33"/>
    <mergeCell ref="B34:U34"/>
    <mergeCell ref="C18:H18"/>
    <mergeCell ref="I18:K18"/>
    <mergeCell ref="L18:O18"/>
    <mergeCell ref="C19:H19"/>
    <mergeCell ref="I19:K19"/>
    <mergeCell ref="L19:O19"/>
    <mergeCell ref="C16:H16"/>
    <mergeCell ref="I16:K16"/>
    <mergeCell ref="L16:O16"/>
    <mergeCell ref="C17:H17"/>
    <mergeCell ref="I17:K17"/>
    <mergeCell ref="L17:O17"/>
    <mergeCell ref="C14:H14"/>
    <mergeCell ref="I14:K14"/>
    <mergeCell ref="L14:O14"/>
    <mergeCell ref="C15:H15"/>
    <mergeCell ref="I15:K15"/>
    <mergeCell ref="L15:O15"/>
    <mergeCell ref="C12:H12"/>
    <mergeCell ref="I12:K12"/>
    <mergeCell ref="L12:O12"/>
    <mergeCell ref="C13:H13"/>
    <mergeCell ref="I13:K13"/>
    <mergeCell ref="L13:O13"/>
    <mergeCell ref="C11:H11"/>
    <mergeCell ref="I11:K11"/>
    <mergeCell ref="L11:O11"/>
    <mergeCell ref="C6:G6"/>
    <mergeCell ref="K6:M6"/>
    <mergeCell ref="P6:Q6"/>
    <mergeCell ref="T6:U6"/>
    <mergeCell ref="B8:B10"/>
    <mergeCell ref="C8:H10"/>
    <mergeCell ref="I8:S8"/>
    <mergeCell ref="T8:U8"/>
    <mergeCell ref="I9:K10"/>
    <mergeCell ref="L9:O10"/>
    <mergeCell ref="P9:P10"/>
    <mergeCell ref="Q9:Q10"/>
    <mergeCell ref="R9:S9"/>
    <mergeCell ref="T9:T10"/>
    <mergeCell ref="U9:U10"/>
    <mergeCell ref="B5:U5"/>
    <mergeCell ref="B1:L1"/>
    <mergeCell ref="D4:H4"/>
    <mergeCell ref="L4:O4"/>
    <mergeCell ref="Q4:R4"/>
    <mergeCell ref="T4:U4"/>
  </mergeCells>
  <printOptions horizontalCentered="1"/>
  <pageMargins left="0.78740157480314965" right="0.78740157480314965" top="0.98425196850393704" bottom="0.98425196850393704" header="0" footer="0.39370078740157483"/>
  <pageSetup scale="60" fitToHeight="10" orientation="landscape" r:id="rId1"/>
  <headerFooter>
    <oddFooter>&amp;R&amp;P de &amp;N</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33"/>
  <sheetViews>
    <sheetView view="pageBreakPreview" topLeftCell="E7" zoomScale="80" zoomScaleNormal="80" zoomScaleSheetLayoutView="80" workbookViewId="0">
      <selection activeCell="R11" sqref="R11:U11"/>
    </sheetView>
  </sheetViews>
  <sheetFormatPr baseColWidth="10" defaultColWidth="10" defaultRowHeight="12.75" x14ac:dyDescent="0.2"/>
  <cols>
    <col min="1" max="1" width="3.5" style="1" customWidth="1"/>
    <col min="2" max="2" width="14.7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9.625" style="1" customWidth="1"/>
    <col min="19" max="19" width="13" style="1" customWidth="1"/>
    <col min="20" max="20" width="10.75" style="1" customWidth="1"/>
    <col min="21" max="21" width="11.37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50" t="s">
        <v>0</v>
      </c>
      <c r="C1" s="50"/>
      <c r="D1" s="50"/>
      <c r="E1" s="50"/>
      <c r="F1" s="50"/>
      <c r="G1" s="50"/>
      <c r="H1" s="50"/>
      <c r="I1" s="50"/>
      <c r="J1" s="50"/>
      <c r="K1" s="50"/>
      <c r="L1" s="50"/>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51.75" customHeight="1" thickTop="1" x14ac:dyDescent="0.2">
      <c r="B4" s="8" t="s">
        <v>6</v>
      </c>
      <c r="C4" s="9" t="s">
        <v>1162</v>
      </c>
      <c r="D4" s="57" t="s">
        <v>1163</v>
      </c>
      <c r="E4" s="57"/>
      <c r="F4" s="57"/>
      <c r="G4" s="57"/>
      <c r="H4" s="57"/>
      <c r="I4" s="10"/>
      <c r="J4" s="11" t="s">
        <v>9</v>
      </c>
      <c r="K4" s="12" t="s">
        <v>10</v>
      </c>
      <c r="L4" s="58" t="s">
        <v>11</v>
      </c>
      <c r="M4" s="58"/>
      <c r="N4" s="58"/>
      <c r="O4" s="58"/>
      <c r="P4" s="11" t="s">
        <v>12</v>
      </c>
      <c r="Q4" s="58" t="s">
        <v>612</v>
      </c>
      <c r="R4" s="58"/>
      <c r="S4" s="11" t="s">
        <v>14</v>
      </c>
      <c r="T4" s="58"/>
      <c r="U4" s="59"/>
    </row>
    <row r="5" spans="1:21" ht="15.75" customHeight="1" x14ac:dyDescent="0.2">
      <c r="B5" s="54" t="s">
        <v>15</v>
      </c>
      <c r="C5" s="55"/>
      <c r="D5" s="55"/>
      <c r="E5" s="55"/>
      <c r="F5" s="55"/>
      <c r="G5" s="55"/>
      <c r="H5" s="55"/>
      <c r="I5" s="55"/>
      <c r="J5" s="55"/>
      <c r="K5" s="55"/>
      <c r="L5" s="55"/>
      <c r="M5" s="55"/>
      <c r="N5" s="55"/>
      <c r="O5" s="55"/>
      <c r="P5" s="55"/>
      <c r="Q5" s="55"/>
      <c r="R5" s="55"/>
      <c r="S5" s="55"/>
      <c r="T5" s="55"/>
      <c r="U5" s="56"/>
    </row>
    <row r="6" spans="1:21" ht="37.5" customHeight="1" thickBot="1" x14ac:dyDescent="0.25">
      <c r="B6" s="13" t="s">
        <v>16</v>
      </c>
      <c r="C6" s="60" t="s">
        <v>17</v>
      </c>
      <c r="D6" s="60"/>
      <c r="E6" s="60"/>
      <c r="F6" s="60"/>
      <c r="G6" s="60"/>
      <c r="H6" s="14"/>
      <c r="I6" s="14"/>
      <c r="J6" s="14" t="s">
        <v>18</v>
      </c>
      <c r="K6" s="60" t="s">
        <v>19</v>
      </c>
      <c r="L6" s="60"/>
      <c r="M6" s="60"/>
      <c r="N6" s="15"/>
      <c r="O6" s="16" t="s">
        <v>20</v>
      </c>
      <c r="P6" s="60" t="s">
        <v>324</v>
      </c>
      <c r="Q6" s="60"/>
      <c r="R6" s="17"/>
      <c r="S6" s="16" t="s">
        <v>22</v>
      </c>
      <c r="T6" s="60" t="s">
        <v>613</v>
      </c>
      <c r="U6" s="61"/>
    </row>
    <row r="7" spans="1:21" ht="14.25" customHeight="1" thickTop="1" thickBot="1" x14ac:dyDescent="0.25">
      <c r="B7" s="4" t="s">
        <v>24</v>
      </c>
      <c r="C7" s="5"/>
      <c r="D7" s="5"/>
      <c r="E7" s="5"/>
      <c r="F7" s="5"/>
      <c r="G7" s="5"/>
      <c r="H7" s="6"/>
      <c r="I7" s="6"/>
      <c r="J7" s="6"/>
      <c r="K7" s="6"/>
      <c r="L7" s="6"/>
      <c r="M7" s="6"/>
      <c r="N7" s="6"/>
      <c r="O7" s="6"/>
      <c r="P7" s="6"/>
      <c r="Q7" s="6"/>
      <c r="R7" s="6"/>
      <c r="S7" s="6"/>
      <c r="T7" s="6"/>
      <c r="U7" s="7"/>
    </row>
    <row r="8" spans="1:21" ht="16.5" customHeight="1" thickTop="1" x14ac:dyDescent="0.2">
      <c r="B8" s="62" t="s">
        <v>25</v>
      </c>
      <c r="C8" s="65" t="s">
        <v>26</v>
      </c>
      <c r="D8" s="66"/>
      <c r="E8" s="66"/>
      <c r="F8" s="66"/>
      <c r="G8" s="66"/>
      <c r="H8" s="67"/>
      <c r="I8" s="74" t="s">
        <v>27</v>
      </c>
      <c r="J8" s="75"/>
      <c r="K8" s="75"/>
      <c r="L8" s="75"/>
      <c r="M8" s="75"/>
      <c r="N8" s="75"/>
      <c r="O8" s="75"/>
      <c r="P8" s="75"/>
      <c r="Q8" s="75"/>
      <c r="R8" s="75"/>
      <c r="S8" s="76"/>
      <c r="T8" s="77" t="s">
        <v>28</v>
      </c>
      <c r="U8" s="78"/>
    </row>
    <row r="9" spans="1:21" ht="19.5" customHeight="1" x14ac:dyDescent="0.2">
      <c r="B9" s="63"/>
      <c r="C9" s="68"/>
      <c r="D9" s="69"/>
      <c r="E9" s="69"/>
      <c r="F9" s="69"/>
      <c r="G9" s="69"/>
      <c r="H9" s="70"/>
      <c r="I9" s="79" t="s">
        <v>29</v>
      </c>
      <c r="J9" s="80"/>
      <c r="K9" s="80"/>
      <c r="L9" s="80" t="s">
        <v>30</v>
      </c>
      <c r="M9" s="80"/>
      <c r="N9" s="80"/>
      <c r="O9" s="80"/>
      <c r="P9" s="80" t="s">
        <v>31</v>
      </c>
      <c r="Q9" s="80" t="s">
        <v>32</v>
      </c>
      <c r="R9" s="83" t="s">
        <v>33</v>
      </c>
      <c r="S9" s="84"/>
      <c r="T9" s="80" t="s">
        <v>34</v>
      </c>
      <c r="U9" s="85" t="s">
        <v>35</v>
      </c>
    </row>
    <row r="10" spans="1:21" ht="26.25" customHeight="1" thickBot="1" x14ac:dyDescent="0.25">
      <c r="B10" s="64"/>
      <c r="C10" s="71"/>
      <c r="D10" s="72"/>
      <c r="E10" s="72"/>
      <c r="F10" s="72"/>
      <c r="G10" s="72"/>
      <c r="H10" s="73"/>
      <c r="I10" s="81"/>
      <c r="J10" s="82"/>
      <c r="K10" s="82"/>
      <c r="L10" s="82"/>
      <c r="M10" s="82"/>
      <c r="N10" s="82"/>
      <c r="O10" s="82"/>
      <c r="P10" s="82"/>
      <c r="Q10" s="82"/>
      <c r="R10" s="19" t="s">
        <v>36</v>
      </c>
      <c r="S10" s="20" t="s">
        <v>37</v>
      </c>
      <c r="T10" s="82"/>
      <c r="U10" s="86"/>
    </row>
    <row r="11" spans="1:21" ht="102" customHeight="1" thickTop="1" thickBot="1" x14ac:dyDescent="0.25">
      <c r="A11" s="21"/>
      <c r="B11" s="22" t="s">
        <v>38</v>
      </c>
      <c r="C11" s="87" t="s">
        <v>1164</v>
      </c>
      <c r="D11" s="87"/>
      <c r="E11" s="87"/>
      <c r="F11" s="87"/>
      <c r="G11" s="87"/>
      <c r="H11" s="87"/>
      <c r="I11" s="87" t="s">
        <v>1165</v>
      </c>
      <c r="J11" s="87"/>
      <c r="K11" s="87"/>
      <c r="L11" s="87" t="s">
        <v>1166</v>
      </c>
      <c r="M11" s="87"/>
      <c r="N11" s="87"/>
      <c r="O11" s="87"/>
      <c r="P11" s="23" t="s">
        <v>48</v>
      </c>
      <c r="Q11" s="23" t="s">
        <v>43</v>
      </c>
      <c r="R11" s="23">
        <v>95</v>
      </c>
      <c r="S11" s="23">
        <v>95</v>
      </c>
      <c r="T11" s="23">
        <v>95</v>
      </c>
      <c r="U11" s="45">
        <f>100</f>
        <v>100</v>
      </c>
    </row>
    <row r="12" spans="1:21" ht="75" customHeight="1" thickTop="1" thickBot="1" x14ac:dyDescent="0.25">
      <c r="A12" s="21"/>
      <c r="B12" s="22" t="s">
        <v>44</v>
      </c>
      <c r="C12" s="87" t="s">
        <v>1167</v>
      </c>
      <c r="D12" s="87"/>
      <c r="E12" s="87"/>
      <c r="F12" s="87"/>
      <c r="G12" s="87"/>
      <c r="H12" s="87"/>
      <c r="I12" s="87" t="s">
        <v>1168</v>
      </c>
      <c r="J12" s="87"/>
      <c r="K12" s="87"/>
      <c r="L12" s="87" t="s">
        <v>1169</v>
      </c>
      <c r="M12" s="87"/>
      <c r="N12" s="87"/>
      <c r="O12" s="87"/>
      <c r="P12" s="23" t="s">
        <v>413</v>
      </c>
      <c r="Q12" s="23" t="s">
        <v>43</v>
      </c>
      <c r="R12" s="23">
        <v>100</v>
      </c>
      <c r="S12" s="23">
        <v>100</v>
      </c>
      <c r="T12" s="23">
        <v>78.69</v>
      </c>
      <c r="U12" s="45">
        <v>102.9</v>
      </c>
    </row>
    <row r="13" spans="1:21" ht="75" customHeight="1" thickTop="1" x14ac:dyDescent="0.2">
      <c r="A13" s="21"/>
      <c r="B13" s="22" t="s">
        <v>50</v>
      </c>
      <c r="C13" s="87" t="s">
        <v>1170</v>
      </c>
      <c r="D13" s="87"/>
      <c r="E13" s="87"/>
      <c r="F13" s="87"/>
      <c r="G13" s="87"/>
      <c r="H13" s="87"/>
      <c r="I13" s="87" t="s">
        <v>1171</v>
      </c>
      <c r="J13" s="87"/>
      <c r="K13" s="87"/>
      <c r="L13" s="87" t="s">
        <v>1172</v>
      </c>
      <c r="M13" s="87"/>
      <c r="N13" s="87"/>
      <c r="O13" s="87"/>
      <c r="P13" s="23" t="s">
        <v>48</v>
      </c>
      <c r="Q13" s="23" t="s">
        <v>71</v>
      </c>
      <c r="R13" s="23">
        <v>100</v>
      </c>
      <c r="S13" s="23">
        <v>100</v>
      </c>
      <c r="T13" s="23">
        <v>109.43</v>
      </c>
      <c r="U13" s="45">
        <f>109.43</f>
        <v>109.43</v>
      </c>
    </row>
    <row r="14" spans="1:21" ht="75" customHeight="1" x14ac:dyDescent="0.2">
      <c r="A14" s="21"/>
      <c r="B14" s="24" t="s">
        <v>55</v>
      </c>
      <c r="C14" s="88" t="s">
        <v>1173</v>
      </c>
      <c r="D14" s="88"/>
      <c r="E14" s="88"/>
      <c r="F14" s="88"/>
      <c r="G14" s="88"/>
      <c r="H14" s="88"/>
      <c r="I14" s="88" t="s">
        <v>1174</v>
      </c>
      <c r="J14" s="88"/>
      <c r="K14" s="88"/>
      <c r="L14" s="88" t="s">
        <v>1175</v>
      </c>
      <c r="M14" s="88"/>
      <c r="N14" s="88"/>
      <c r="O14" s="88"/>
      <c r="P14" s="25" t="s">
        <v>504</v>
      </c>
      <c r="Q14" s="25" t="s">
        <v>71</v>
      </c>
      <c r="R14" s="25">
        <v>100</v>
      </c>
      <c r="S14" s="25">
        <v>100</v>
      </c>
      <c r="T14" s="25">
        <v>100</v>
      </c>
      <c r="U14" s="46">
        <f>100</f>
        <v>100</v>
      </c>
    </row>
    <row r="15" spans="1:21" ht="75" customHeight="1" thickBot="1" x14ac:dyDescent="0.25">
      <c r="A15" s="21"/>
      <c r="B15" s="24" t="s">
        <v>55</v>
      </c>
      <c r="C15" s="88" t="s">
        <v>1176</v>
      </c>
      <c r="D15" s="88"/>
      <c r="E15" s="88"/>
      <c r="F15" s="88"/>
      <c r="G15" s="88"/>
      <c r="H15" s="88"/>
      <c r="I15" s="88" t="s">
        <v>1177</v>
      </c>
      <c r="J15" s="88"/>
      <c r="K15" s="88"/>
      <c r="L15" s="88" t="s">
        <v>1178</v>
      </c>
      <c r="M15" s="88"/>
      <c r="N15" s="88"/>
      <c r="O15" s="88"/>
      <c r="P15" s="25" t="s">
        <v>1179</v>
      </c>
      <c r="Q15" s="25" t="s">
        <v>71</v>
      </c>
      <c r="R15" s="25">
        <v>100</v>
      </c>
      <c r="S15" s="25">
        <v>100</v>
      </c>
      <c r="T15" s="25">
        <v>100</v>
      </c>
      <c r="U15" s="46">
        <f>100</f>
        <v>100</v>
      </c>
    </row>
    <row r="16" spans="1:21" ht="92.25" customHeight="1" thickTop="1" x14ac:dyDescent="0.2">
      <c r="A16" s="21"/>
      <c r="B16" s="22" t="s">
        <v>61</v>
      </c>
      <c r="C16" s="87" t="s">
        <v>1180</v>
      </c>
      <c r="D16" s="87"/>
      <c r="E16" s="87"/>
      <c r="F16" s="87"/>
      <c r="G16" s="87"/>
      <c r="H16" s="87"/>
      <c r="I16" s="87" t="s">
        <v>1181</v>
      </c>
      <c r="J16" s="87"/>
      <c r="K16" s="87"/>
      <c r="L16" s="87" t="s">
        <v>1182</v>
      </c>
      <c r="M16" s="87"/>
      <c r="N16" s="87"/>
      <c r="O16" s="87"/>
      <c r="P16" s="23" t="s">
        <v>504</v>
      </c>
      <c r="Q16" s="23" t="s">
        <v>71</v>
      </c>
      <c r="R16" s="23">
        <v>100</v>
      </c>
      <c r="S16" s="23">
        <v>100</v>
      </c>
      <c r="T16" s="23">
        <v>100</v>
      </c>
      <c r="U16" s="45">
        <f>100</f>
        <v>100</v>
      </c>
    </row>
    <row r="17" spans="1:22" ht="75" customHeight="1" x14ac:dyDescent="0.2">
      <c r="A17" s="21"/>
      <c r="B17" s="24" t="s">
        <v>55</v>
      </c>
      <c r="C17" s="88" t="s">
        <v>1183</v>
      </c>
      <c r="D17" s="88"/>
      <c r="E17" s="88"/>
      <c r="F17" s="88"/>
      <c r="G17" s="88"/>
      <c r="H17" s="88"/>
      <c r="I17" s="88" t="s">
        <v>1184</v>
      </c>
      <c r="J17" s="88"/>
      <c r="K17" s="88"/>
      <c r="L17" s="88" t="s">
        <v>1185</v>
      </c>
      <c r="M17" s="88"/>
      <c r="N17" s="88"/>
      <c r="O17" s="88"/>
      <c r="P17" s="25" t="s">
        <v>504</v>
      </c>
      <c r="Q17" s="25" t="s">
        <v>71</v>
      </c>
      <c r="R17" s="25">
        <v>100</v>
      </c>
      <c r="S17" s="25">
        <v>100</v>
      </c>
      <c r="T17" s="25">
        <v>100</v>
      </c>
      <c r="U17" s="46">
        <f>100</f>
        <v>100</v>
      </c>
    </row>
    <row r="18" spans="1:22" ht="75" customHeight="1" thickBot="1" x14ac:dyDescent="0.25">
      <c r="A18" s="21"/>
      <c r="B18" s="24" t="s">
        <v>55</v>
      </c>
      <c r="C18" s="88" t="s">
        <v>1186</v>
      </c>
      <c r="D18" s="88"/>
      <c r="E18" s="88"/>
      <c r="F18" s="88"/>
      <c r="G18" s="88"/>
      <c r="H18" s="88"/>
      <c r="I18" s="88" t="s">
        <v>1187</v>
      </c>
      <c r="J18" s="88"/>
      <c r="K18" s="88"/>
      <c r="L18" s="88" t="s">
        <v>1188</v>
      </c>
      <c r="M18" s="88"/>
      <c r="N18" s="88"/>
      <c r="O18" s="88"/>
      <c r="P18" s="25" t="s">
        <v>504</v>
      </c>
      <c r="Q18" s="25" t="s">
        <v>71</v>
      </c>
      <c r="R18" s="25">
        <v>100</v>
      </c>
      <c r="S18" s="25">
        <v>100</v>
      </c>
      <c r="T18" s="25">
        <v>100</v>
      </c>
      <c r="U18" s="46">
        <f>100</f>
        <v>100</v>
      </c>
    </row>
    <row r="19" spans="1:22" ht="14.25" customHeight="1" thickTop="1" thickBot="1" x14ac:dyDescent="0.25">
      <c r="B19" s="4" t="s">
        <v>80</v>
      </c>
      <c r="C19" s="5"/>
      <c r="D19" s="5"/>
      <c r="E19" s="5"/>
      <c r="F19" s="5"/>
      <c r="G19" s="5"/>
      <c r="H19" s="6"/>
      <c r="I19" s="6"/>
      <c r="J19" s="6"/>
      <c r="K19" s="6"/>
      <c r="L19" s="6"/>
      <c r="M19" s="6"/>
      <c r="N19" s="6"/>
      <c r="O19" s="6"/>
      <c r="P19" s="6"/>
      <c r="Q19" s="6"/>
      <c r="R19" s="6"/>
      <c r="S19" s="6"/>
      <c r="T19" s="6"/>
      <c r="U19" s="7"/>
      <c r="V19" s="26"/>
    </row>
    <row r="20" spans="1:22" ht="26.25" customHeight="1" thickTop="1" x14ac:dyDescent="0.2">
      <c r="B20" s="27"/>
      <c r="C20" s="28"/>
      <c r="D20" s="28"/>
      <c r="E20" s="28"/>
      <c r="F20" s="28"/>
      <c r="G20" s="28"/>
      <c r="H20" s="29"/>
      <c r="I20" s="29"/>
      <c r="J20" s="29"/>
      <c r="K20" s="29"/>
      <c r="L20" s="29"/>
      <c r="M20" s="29"/>
      <c r="N20" s="29"/>
      <c r="O20" s="29"/>
      <c r="P20" s="29"/>
      <c r="Q20" s="29"/>
      <c r="R20" s="30"/>
      <c r="S20" s="31" t="s">
        <v>33</v>
      </c>
      <c r="T20" s="31" t="s">
        <v>81</v>
      </c>
      <c r="U20" s="18" t="s">
        <v>82</v>
      </c>
    </row>
    <row r="21" spans="1:22" ht="26.25" customHeight="1" thickBot="1" x14ac:dyDescent="0.25">
      <c r="B21" s="32"/>
      <c r="C21" s="33"/>
      <c r="D21" s="33"/>
      <c r="E21" s="33"/>
      <c r="F21" s="33"/>
      <c r="G21" s="33"/>
      <c r="H21" s="34"/>
      <c r="I21" s="34"/>
      <c r="J21" s="34"/>
      <c r="K21" s="34"/>
      <c r="L21" s="34"/>
      <c r="M21" s="34"/>
      <c r="N21" s="34"/>
      <c r="O21" s="34"/>
      <c r="P21" s="34"/>
      <c r="Q21" s="34"/>
      <c r="R21" s="34"/>
      <c r="S21" s="35" t="s">
        <v>83</v>
      </c>
      <c r="T21" s="36" t="s">
        <v>83</v>
      </c>
      <c r="U21" s="36" t="s">
        <v>84</v>
      </c>
    </row>
    <row r="22" spans="1:22" ht="13.5" customHeight="1" thickBot="1" x14ac:dyDescent="0.25">
      <c r="B22" s="92" t="s">
        <v>85</v>
      </c>
      <c r="C22" s="93"/>
      <c r="D22" s="93"/>
      <c r="E22" s="37"/>
      <c r="F22" s="37"/>
      <c r="G22" s="37"/>
      <c r="H22" s="38"/>
      <c r="I22" s="38"/>
      <c r="J22" s="38"/>
      <c r="K22" s="38"/>
      <c r="L22" s="38"/>
      <c r="M22" s="38"/>
      <c r="N22" s="38"/>
      <c r="O22" s="38"/>
      <c r="P22" s="39"/>
      <c r="Q22" s="39"/>
      <c r="R22" s="39"/>
      <c r="S22" s="48">
        <v>6102.9536680000001</v>
      </c>
      <c r="T22" s="48">
        <v>5490.4862458800008</v>
      </c>
      <c r="U22" s="49">
        <f>+IF(ISERR(T22/S22*100),"N/A",ROUND(T22/S22*100,1))</f>
        <v>90</v>
      </c>
    </row>
    <row r="23" spans="1:22" ht="13.5" customHeight="1" thickBot="1" x14ac:dyDescent="0.25">
      <c r="B23" s="94" t="s">
        <v>86</v>
      </c>
      <c r="C23" s="95"/>
      <c r="D23" s="95"/>
      <c r="E23" s="40"/>
      <c r="F23" s="40"/>
      <c r="G23" s="40"/>
      <c r="H23" s="41"/>
      <c r="I23" s="41"/>
      <c r="J23" s="41"/>
      <c r="K23" s="41"/>
      <c r="L23" s="41"/>
      <c r="M23" s="41"/>
      <c r="N23" s="41"/>
      <c r="O23" s="41"/>
      <c r="P23" s="42"/>
      <c r="Q23" s="42"/>
      <c r="R23" s="42"/>
      <c r="S23" s="48">
        <v>5490.4862458800008</v>
      </c>
      <c r="T23" s="48">
        <v>5490.4862458800008</v>
      </c>
      <c r="U23" s="49">
        <f>+IF(ISERR(T23/S23*100),"N/A",ROUND(T23/S23*100,1))</f>
        <v>100</v>
      </c>
    </row>
    <row r="24" spans="1:22" ht="14.85" customHeight="1" thickTop="1" thickBot="1" x14ac:dyDescent="0.25">
      <c r="B24" s="4" t="s">
        <v>87</v>
      </c>
      <c r="C24" s="5"/>
      <c r="D24" s="5"/>
      <c r="E24" s="5"/>
      <c r="F24" s="5"/>
      <c r="G24" s="5"/>
      <c r="H24" s="6"/>
      <c r="I24" s="6"/>
      <c r="J24" s="6"/>
      <c r="K24" s="6"/>
      <c r="L24" s="6"/>
      <c r="M24" s="6"/>
      <c r="N24" s="6"/>
      <c r="O24" s="6"/>
      <c r="P24" s="6"/>
      <c r="Q24" s="6"/>
      <c r="R24" s="6"/>
      <c r="S24" s="6"/>
      <c r="T24" s="6"/>
      <c r="U24" s="7"/>
    </row>
    <row r="25" spans="1:22" ht="44.25" customHeight="1" thickTop="1" x14ac:dyDescent="0.2">
      <c r="B25" s="89" t="s">
        <v>88</v>
      </c>
      <c r="C25" s="90"/>
      <c r="D25" s="90"/>
      <c r="E25" s="90"/>
      <c r="F25" s="90"/>
      <c r="G25" s="90"/>
      <c r="H25" s="90"/>
      <c r="I25" s="90"/>
      <c r="J25" s="90"/>
      <c r="K25" s="90"/>
      <c r="L25" s="90"/>
      <c r="M25" s="90"/>
      <c r="N25" s="90"/>
      <c r="O25" s="90"/>
      <c r="P25" s="90"/>
      <c r="Q25" s="90"/>
      <c r="R25" s="90"/>
      <c r="S25" s="90"/>
      <c r="T25" s="90"/>
      <c r="U25" s="91"/>
    </row>
    <row r="26" spans="1:22" ht="130.5" customHeight="1" x14ac:dyDescent="0.2">
      <c r="B26" s="96" t="s">
        <v>1189</v>
      </c>
      <c r="C26" s="97"/>
      <c r="D26" s="97"/>
      <c r="E26" s="97"/>
      <c r="F26" s="97"/>
      <c r="G26" s="97"/>
      <c r="H26" s="97"/>
      <c r="I26" s="97"/>
      <c r="J26" s="97"/>
      <c r="K26" s="97"/>
      <c r="L26" s="97"/>
      <c r="M26" s="97"/>
      <c r="N26" s="97"/>
      <c r="O26" s="97"/>
      <c r="P26" s="97"/>
      <c r="Q26" s="97"/>
      <c r="R26" s="97"/>
      <c r="S26" s="97"/>
      <c r="T26" s="97"/>
      <c r="U26" s="98"/>
    </row>
    <row r="27" spans="1:22" ht="90.75" customHeight="1" x14ac:dyDescent="0.2">
      <c r="B27" s="96" t="s">
        <v>1190</v>
      </c>
      <c r="C27" s="97"/>
      <c r="D27" s="97"/>
      <c r="E27" s="97"/>
      <c r="F27" s="97"/>
      <c r="G27" s="97"/>
      <c r="H27" s="97"/>
      <c r="I27" s="97"/>
      <c r="J27" s="97"/>
      <c r="K27" s="97"/>
      <c r="L27" s="97"/>
      <c r="M27" s="97"/>
      <c r="N27" s="97"/>
      <c r="O27" s="97"/>
      <c r="P27" s="97"/>
      <c r="Q27" s="97"/>
      <c r="R27" s="97"/>
      <c r="S27" s="97"/>
      <c r="T27" s="97"/>
      <c r="U27" s="98"/>
    </row>
    <row r="28" spans="1:22" ht="65.25" customHeight="1" x14ac:dyDescent="0.2">
      <c r="B28" s="96" t="s">
        <v>1191</v>
      </c>
      <c r="C28" s="97"/>
      <c r="D28" s="97"/>
      <c r="E28" s="97"/>
      <c r="F28" s="97"/>
      <c r="G28" s="97"/>
      <c r="H28" s="97"/>
      <c r="I28" s="97"/>
      <c r="J28" s="97"/>
      <c r="K28" s="97"/>
      <c r="L28" s="97"/>
      <c r="M28" s="97"/>
      <c r="N28" s="97"/>
      <c r="O28" s="97"/>
      <c r="P28" s="97"/>
      <c r="Q28" s="97"/>
      <c r="R28" s="97"/>
      <c r="S28" s="97"/>
      <c r="T28" s="97"/>
      <c r="U28" s="98"/>
    </row>
    <row r="29" spans="1:22" ht="53.25" customHeight="1" x14ac:dyDescent="0.2">
      <c r="B29" s="96" t="s">
        <v>1192</v>
      </c>
      <c r="C29" s="97"/>
      <c r="D29" s="97"/>
      <c r="E29" s="97"/>
      <c r="F29" s="97"/>
      <c r="G29" s="97"/>
      <c r="H29" s="97"/>
      <c r="I29" s="97"/>
      <c r="J29" s="97"/>
      <c r="K29" s="97"/>
      <c r="L29" s="97"/>
      <c r="M29" s="97"/>
      <c r="N29" s="97"/>
      <c r="O29" s="97"/>
      <c r="P29" s="97"/>
      <c r="Q29" s="97"/>
      <c r="R29" s="97"/>
      <c r="S29" s="97"/>
      <c r="T29" s="97"/>
      <c r="U29" s="98"/>
    </row>
    <row r="30" spans="1:22" ht="65.25" customHeight="1" x14ac:dyDescent="0.2">
      <c r="B30" s="96" t="s">
        <v>1193</v>
      </c>
      <c r="C30" s="97"/>
      <c r="D30" s="97"/>
      <c r="E30" s="97"/>
      <c r="F30" s="97"/>
      <c r="G30" s="97"/>
      <c r="H30" s="97"/>
      <c r="I30" s="97"/>
      <c r="J30" s="97"/>
      <c r="K30" s="97"/>
      <c r="L30" s="97"/>
      <c r="M30" s="97"/>
      <c r="N30" s="97"/>
      <c r="O30" s="97"/>
      <c r="P30" s="97"/>
      <c r="Q30" s="97"/>
      <c r="R30" s="97"/>
      <c r="S30" s="97"/>
      <c r="T30" s="97"/>
      <c r="U30" s="98"/>
    </row>
    <row r="31" spans="1:22" ht="51.75" customHeight="1" x14ac:dyDescent="0.2">
      <c r="B31" s="96" t="s">
        <v>1194</v>
      </c>
      <c r="C31" s="97"/>
      <c r="D31" s="97"/>
      <c r="E31" s="97"/>
      <c r="F31" s="97"/>
      <c r="G31" s="97"/>
      <c r="H31" s="97"/>
      <c r="I31" s="97"/>
      <c r="J31" s="97"/>
      <c r="K31" s="97"/>
      <c r="L31" s="97"/>
      <c r="M31" s="97"/>
      <c r="N31" s="97"/>
      <c r="O31" s="97"/>
      <c r="P31" s="97"/>
      <c r="Q31" s="97"/>
      <c r="R31" s="97"/>
      <c r="S31" s="97"/>
      <c r="T31" s="97"/>
      <c r="U31" s="98"/>
    </row>
    <row r="32" spans="1:22" ht="61.5" customHeight="1" x14ac:dyDescent="0.2">
      <c r="B32" s="96" t="s">
        <v>1195</v>
      </c>
      <c r="C32" s="97"/>
      <c r="D32" s="97"/>
      <c r="E32" s="97"/>
      <c r="F32" s="97"/>
      <c r="G32" s="97"/>
      <c r="H32" s="97"/>
      <c r="I32" s="97"/>
      <c r="J32" s="97"/>
      <c r="K32" s="97"/>
      <c r="L32" s="97"/>
      <c r="M32" s="97"/>
      <c r="N32" s="97"/>
      <c r="O32" s="97"/>
      <c r="P32" s="97"/>
      <c r="Q32" s="97"/>
      <c r="R32" s="97"/>
      <c r="S32" s="97"/>
      <c r="T32" s="97"/>
      <c r="U32" s="98"/>
    </row>
    <row r="33" spans="2:21" ht="83.25" customHeight="1" thickBot="1" x14ac:dyDescent="0.25">
      <c r="B33" s="99" t="s">
        <v>1196</v>
      </c>
      <c r="C33" s="100"/>
      <c r="D33" s="100"/>
      <c r="E33" s="100"/>
      <c r="F33" s="100"/>
      <c r="G33" s="100"/>
      <c r="H33" s="100"/>
      <c r="I33" s="100"/>
      <c r="J33" s="100"/>
      <c r="K33" s="100"/>
      <c r="L33" s="100"/>
      <c r="M33" s="100"/>
      <c r="N33" s="100"/>
      <c r="O33" s="100"/>
      <c r="P33" s="100"/>
      <c r="Q33" s="100"/>
      <c r="R33" s="100"/>
      <c r="S33" s="100"/>
      <c r="T33" s="100"/>
      <c r="U33" s="101"/>
    </row>
  </sheetData>
  <mergeCells count="56">
    <mergeCell ref="B32:U32"/>
    <mergeCell ref="B33:U33"/>
    <mergeCell ref="B26:U26"/>
    <mergeCell ref="B27:U27"/>
    <mergeCell ref="B28:U28"/>
    <mergeCell ref="B29:U29"/>
    <mergeCell ref="B30:U30"/>
    <mergeCell ref="B31:U31"/>
    <mergeCell ref="B25:U25"/>
    <mergeCell ref="C16:H16"/>
    <mergeCell ref="I16:K16"/>
    <mergeCell ref="L16:O16"/>
    <mergeCell ref="C17:H17"/>
    <mergeCell ref="I17:K17"/>
    <mergeCell ref="L17:O17"/>
    <mergeCell ref="C18:H18"/>
    <mergeCell ref="I18:K18"/>
    <mergeCell ref="L18:O18"/>
    <mergeCell ref="B22:D22"/>
    <mergeCell ref="B23:D23"/>
    <mergeCell ref="C14:H14"/>
    <mergeCell ref="I14:K14"/>
    <mergeCell ref="L14:O14"/>
    <mergeCell ref="C15:H15"/>
    <mergeCell ref="I15:K15"/>
    <mergeCell ref="L15:O15"/>
    <mergeCell ref="C12:H12"/>
    <mergeCell ref="I12:K12"/>
    <mergeCell ref="L12:O12"/>
    <mergeCell ref="C13:H13"/>
    <mergeCell ref="I13:K13"/>
    <mergeCell ref="L13:O13"/>
    <mergeCell ref="C11:H11"/>
    <mergeCell ref="I11:K11"/>
    <mergeCell ref="L11:O11"/>
    <mergeCell ref="C6:G6"/>
    <mergeCell ref="K6:M6"/>
    <mergeCell ref="P6:Q6"/>
    <mergeCell ref="T6:U6"/>
    <mergeCell ref="B8:B10"/>
    <mergeCell ref="C8:H10"/>
    <mergeCell ref="I8:S8"/>
    <mergeCell ref="T8:U8"/>
    <mergeCell ref="I9:K10"/>
    <mergeCell ref="L9:O10"/>
    <mergeCell ref="P9:P10"/>
    <mergeCell ref="Q9:Q10"/>
    <mergeCell ref="R9:S9"/>
    <mergeCell ref="T9:T10"/>
    <mergeCell ref="U9:U10"/>
    <mergeCell ref="B5:U5"/>
    <mergeCell ref="B1:L1"/>
    <mergeCell ref="D4:H4"/>
    <mergeCell ref="L4:O4"/>
    <mergeCell ref="Q4:R4"/>
    <mergeCell ref="T4:U4"/>
  </mergeCells>
  <printOptions horizontalCentered="1"/>
  <pageMargins left="0.78740157480314965" right="0.78740157480314965" top="0.98425196850393704" bottom="0.98425196850393704" header="0" footer="0.39370078740157483"/>
  <pageSetup scale="60" fitToHeight="10" orientation="landscape" r:id="rId1"/>
  <headerFooter>
    <oddFooter>&amp;R&amp;P de &amp;N</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45"/>
  <sheetViews>
    <sheetView view="pageBreakPreview" topLeftCell="D13" zoomScale="80" zoomScaleNormal="80" zoomScaleSheetLayoutView="80" workbookViewId="0">
      <selection activeCell="R15" sqref="R15:U15"/>
    </sheetView>
  </sheetViews>
  <sheetFormatPr baseColWidth="10" defaultColWidth="10" defaultRowHeight="12.75" x14ac:dyDescent="0.2"/>
  <cols>
    <col min="1" max="1" width="3.5" style="1" customWidth="1"/>
    <col min="2" max="2" width="14.7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15.125" style="1" customWidth="1"/>
    <col min="19" max="20" width="15" style="1" customWidth="1"/>
    <col min="21" max="21" width="11.37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50" t="s">
        <v>0</v>
      </c>
      <c r="C1" s="50"/>
      <c r="D1" s="50"/>
      <c r="E1" s="50"/>
      <c r="F1" s="50"/>
      <c r="G1" s="50"/>
      <c r="H1" s="50"/>
      <c r="I1" s="50"/>
      <c r="J1" s="50"/>
      <c r="K1" s="50"/>
      <c r="L1" s="50"/>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51.75" customHeight="1" thickTop="1" x14ac:dyDescent="0.2">
      <c r="B4" s="8" t="s">
        <v>6</v>
      </c>
      <c r="C4" s="9" t="s">
        <v>1197</v>
      </c>
      <c r="D4" s="57" t="s">
        <v>1198</v>
      </c>
      <c r="E4" s="57"/>
      <c r="F4" s="57"/>
      <c r="G4" s="57"/>
      <c r="H4" s="57"/>
      <c r="I4" s="10"/>
      <c r="J4" s="11" t="s">
        <v>9</v>
      </c>
      <c r="K4" s="12" t="s">
        <v>10</v>
      </c>
      <c r="L4" s="58" t="s">
        <v>11</v>
      </c>
      <c r="M4" s="58"/>
      <c r="N4" s="58"/>
      <c r="O4" s="58"/>
      <c r="P4" s="11" t="s">
        <v>12</v>
      </c>
      <c r="Q4" s="58" t="s">
        <v>523</v>
      </c>
      <c r="R4" s="58"/>
      <c r="S4" s="11" t="s">
        <v>14</v>
      </c>
      <c r="T4" s="58" t="s">
        <v>465</v>
      </c>
      <c r="U4" s="59"/>
    </row>
    <row r="5" spans="1:21" ht="15.75" customHeight="1" x14ac:dyDescent="0.2">
      <c r="B5" s="54" t="s">
        <v>15</v>
      </c>
      <c r="C5" s="55"/>
      <c r="D5" s="55"/>
      <c r="E5" s="55"/>
      <c r="F5" s="55"/>
      <c r="G5" s="55"/>
      <c r="H5" s="55"/>
      <c r="I5" s="55"/>
      <c r="J5" s="55"/>
      <c r="K5" s="55"/>
      <c r="L5" s="55"/>
      <c r="M5" s="55"/>
      <c r="N5" s="55"/>
      <c r="O5" s="55"/>
      <c r="P5" s="55"/>
      <c r="Q5" s="55"/>
      <c r="R5" s="55"/>
      <c r="S5" s="55"/>
      <c r="T5" s="55"/>
      <c r="U5" s="56"/>
    </row>
    <row r="6" spans="1:21" ht="37.5" customHeight="1" thickBot="1" x14ac:dyDescent="0.25">
      <c r="B6" s="13" t="s">
        <v>16</v>
      </c>
      <c r="C6" s="60" t="s">
        <v>17</v>
      </c>
      <c r="D6" s="60"/>
      <c r="E6" s="60"/>
      <c r="F6" s="60"/>
      <c r="G6" s="60"/>
      <c r="H6" s="14"/>
      <c r="I6" s="14"/>
      <c r="J6" s="14" t="s">
        <v>18</v>
      </c>
      <c r="K6" s="60" t="s">
        <v>19</v>
      </c>
      <c r="L6" s="60"/>
      <c r="M6" s="60"/>
      <c r="N6" s="15"/>
      <c r="O6" s="16" t="s">
        <v>20</v>
      </c>
      <c r="P6" s="60" t="s">
        <v>148</v>
      </c>
      <c r="Q6" s="60"/>
      <c r="R6" s="17"/>
      <c r="S6" s="16" t="s">
        <v>22</v>
      </c>
      <c r="T6" s="60" t="s">
        <v>149</v>
      </c>
      <c r="U6" s="61"/>
    </row>
    <row r="7" spans="1:21" ht="14.25" customHeight="1" thickTop="1" thickBot="1" x14ac:dyDescent="0.25">
      <c r="B7" s="4" t="s">
        <v>24</v>
      </c>
      <c r="C7" s="5"/>
      <c r="D7" s="5"/>
      <c r="E7" s="5"/>
      <c r="F7" s="5"/>
      <c r="G7" s="5"/>
      <c r="H7" s="6"/>
      <c r="I7" s="6"/>
      <c r="J7" s="6"/>
      <c r="K7" s="6"/>
      <c r="L7" s="6"/>
      <c r="M7" s="6"/>
      <c r="N7" s="6"/>
      <c r="O7" s="6"/>
      <c r="P7" s="6"/>
      <c r="Q7" s="6"/>
      <c r="R7" s="6"/>
      <c r="S7" s="6"/>
      <c r="T7" s="6"/>
      <c r="U7" s="7"/>
    </row>
    <row r="8" spans="1:21" ht="16.5" customHeight="1" thickTop="1" x14ac:dyDescent="0.2">
      <c r="B8" s="62" t="s">
        <v>25</v>
      </c>
      <c r="C8" s="65" t="s">
        <v>26</v>
      </c>
      <c r="D8" s="66"/>
      <c r="E8" s="66"/>
      <c r="F8" s="66"/>
      <c r="G8" s="66"/>
      <c r="H8" s="67"/>
      <c r="I8" s="74" t="s">
        <v>27</v>
      </c>
      <c r="J8" s="75"/>
      <c r="K8" s="75"/>
      <c r="L8" s="75"/>
      <c r="M8" s="75"/>
      <c r="N8" s="75"/>
      <c r="O8" s="75"/>
      <c r="P8" s="75"/>
      <c r="Q8" s="75"/>
      <c r="R8" s="75"/>
      <c r="S8" s="76"/>
      <c r="T8" s="77" t="s">
        <v>28</v>
      </c>
      <c r="U8" s="78"/>
    </row>
    <row r="9" spans="1:21" ht="19.5" customHeight="1" x14ac:dyDescent="0.2">
      <c r="B9" s="63"/>
      <c r="C9" s="68"/>
      <c r="D9" s="69"/>
      <c r="E9" s="69"/>
      <c r="F9" s="69"/>
      <c r="G9" s="69"/>
      <c r="H9" s="70"/>
      <c r="I9" s="79" t="s">
        <v>29</v>
      </c>
      <c r="J9" s="80"/>
      <c r="K9" s="80"/>
      <c r="L9" s="80" t="s">
        <v>30</v>
      </c>
      <c r="M9" s="80"/>
      <c r="N9" s="80"/>
      <c r="O9" s="80"/>
      <c r="P9" s="80" t="s">
        <v>31</v>
      </c>
      <c r="Q9" s="80" t="s">
        <v>32</v>
      </c>
      <c r="R9" s="83" t="s">
        <v>33</v>
      </c>
      <c r="S9" s="84"/>
      <c r="T9" s="80" t="s">
        <v>34</v>
      </c>
      <c r="U9" s="85" t="s">
        <v>35</v>
      </c>
    </row>
    <row r="10" spans="1:21" ht="26.25" customHeight="1" thickBot="1" x14ac:dyDescent="0.25">
      <c r="B10" s="64"/>
      <c r="C10" s="71"/>
      <c r="D10" s="72"/>
      <c r="E10" s="72"/>
      <c r="F10" s="72"/>
      <c r="G10" s="72"/>
      <c r="H10" s="73"/>
      <c r="I10" s="81"/>
      <c r="J10" s="82"/>
      <c r="K10" s="82"/>
      <c r="L10" s="82"/>
      <c r="M10" s="82"/>
      <c r="N10" s="82"/>
      <c r="O10" s="82"/>
      <c r="P10" s="82"/>
      <c r="Q10" s="82"/>
      <c r="R10" s="19" t="s">
        <v>36</v>
      </c>
      <c r="S10" s="20" t="s">
        <v>37</v>
      </c>
      <c r="T10" s="82"/>
      <c r="U10" s="86"/>
    </row>
    <row r="11" spans="1:21" ht="75" customHeight="1" thickTop="1" x14ac:dyDescent="0.2">
      <c r="A11" s="21"/>
      <c r="B11" s="22" t="s">
        <v>38</v>
      </c>
      <c r="C11" s="87" t="s">
        <v>1199</v>
      </c>
      <c r="D11" s="87"/>
      <c r="E11" s="87"/>
      <c r="F11" s="87"/>
      <c r="G11" s="87"/>
      <c r="H11" s="87"/>
      <c r="I11" s="87" t="s">
        <v>1200</v>
      </c>
      <c r="J11" s="87"/>
      <c r="K11" s="87"/>
      <c r="L11" s="87" t="s">
        <v>1201</v>
      </c>
      <c r="M11" s="87"/>
      <c r="N11" s="87"/>
      <c r="O11" s="87"/>
      <c r="P11" s="23" t="s">
        <v>48</v>
      </c>
      <c r="Q11" s="23" t="s">
        <v>43</v>
      </c>
      <c r="R11" s="23">
        <v>69.73</v>
      </c>
      <c r="S11" s="23">
        <v>55.61</v>
      </c>
      <c r="T11" s="23">
        <v>65.87</v>
      </c>
      <c r="U11" s="45">
        <f>118.44</f>
        <v>118.44</v>
      </c>
    </row>
    <row r="12" spans="1:21" ht="75" customHeight="1" x14ac:dyDescent="0.2">
      <c r="A12" s="21"/>
      <c r="B12" s="24" t="s">
        <v>55</v>
      </c>
      <c r="C12" s="88" t="s">
        <v>55</v>
      </c>
      <c r="D12" s="88"/>
      <c r="E12" s="88"/>
      <c r="F12" s="88"/>
      <c r="G12" s="88"/>
      <c r="H12" s="88"/>
      <c r="I12" s="88" t="s">
        <v>1202</v>
      </c>
      <c r="J12" s="88"/>
      <c r="K12" s="88"/>
      <c r="L12" s="88" t="s">
        <v>1203</v>
      </c>
      <c r="M12" s="88"/>
      <c r="N12" s="88"/>
      <c r="O12" s="88"/>
      <c r="P12" s="25" t="s">
        <v>48</v>
      </c>
      <c r="Q12" s="25" t="s">
        <v>43</v>
      </c>
      <c r="R12" s="25">
        <v>13.41</v>
      </c>
      <c r="S12" s="25">
        <v>13.41</v>
      </c>
      <c r="T12" s="25">
        <v>78.69</v>
      </c>
      <c r="U12" s="46">
        <v>102.9</v>
      </c>
    </row>
    <row r="13" spans="1:21" ht="75" customHeight="1" thickBot="1" x14ac:dyDescent="0.25">
      <c r="A13" s="21"/>
      <c r="B13" s="24" t="s">
        <v>55</v>
      </c>
      <c r="C13" s="88" t="s">
        <v>55</v>
      </c>
      <c r="D13" s="88"/>
      <c r="E13" s="88"/>
      <c r="F13" s="88"/>
      <c r="G13" s="88"/>
      <c r="H13" s="88"/>
      <c r="I13" s="88" t="s">
        <v>1204</v>
      </c>
      <c r="J13" s="88"/>
      <c r="K13" s="88"/>
      <c r="L13" s="88" t="s">
        <v>1205</v>
      </c>
      <c r="M13" s="88"/>
      <c r="N13" s="88"/>
      <c r="O13" s="88"/>
      <c r="P13" s="25" t="s">
        <v>48</v>
      </c>
      <c r="Q13" s="25" t="s">
        <v>43</v>
      </c>
      <c r="R13" s="25">
        <v>7.39</v>
      </c>
      <c r="S13" s="25">
        <v>7.39</v>
      </c>
      <c r="T13" s="25">
        <v>14.42</v>
      </c>
      <c r="U13" s="46">
        <f>195.12</f>
        <v>195.12</v>
      </c>
    </row>
    <row r="14" spans="1:21" ht="100.5" customHeight="1" thickTop="1" x14ac:dyDescent="0.2">
      <c r="A14" s="21"/>
      <c r="B14" s="22" t="s">
        <v>44</v>
      </c>
      <c r="C14" s="87" t="s">
        <v>1206</v>
      </c>
      <c r="D14" s="87"/>
      <c r="E14" s="87"/>
      <c r="F14" s="87"/>
      <c r="G14" s="87"/>
      <c r="H14" s="87"/>
      <c r="I14" s="87" t="s">
        <v>1207</v>
      </c>
      <c r="J14" s="87"/>
      <c r="K14" s="87"/>
      <c r="L14" s="87" t="s">
        <v>1208</v>
      </c>
      <c r="M14" s="87"/>
      <c r="N14" s="87"/>
      <c r="O14" s="87"/>
      <c r="P14" s="23" t="s">
        <v>48</v>
      </c>
      <c r="Q14" s="23" t="s">
        <v>43</v>
      </c>
      <c r="R14" s="23">
        <v>46.79</v>
      </c>
      <c r="S14" s="23">
        <v>46.79</v>
      </c>
      <c r="T14" s="23">
        <v>47.66</v>
      </c>
      <c r="U14" s="45">
        <f>101.86</f>
        <v>101.86</v>
      </c>
    </row>
    <row r="15" spans="1:21" ht="108" customHeight="1" thickBot="1" x14ac:dyDescent="0.25">
      <c r="A15" s="21"/>
      <c r="B15" s="24" t="s">
        <v>55</v>
      </c>
      <c r="C15" s="88" t="s">
        <v>55</v>
      </c>
      <c r="D15" s="88"/>
      <c r="E15" s="88"/>
      <c r="F15" s="88"/>
      <c r="G15" s="88"/>
      <c r="H15" s="88"/>
      <c r="I15" s="88" t="s">
        <v>1209</v>
      </c>
      <c r="J15" s="88"/>
      <c r="K15" s="88"/>
      <c r="L15" s="88" t="s">
        <v>1210</v>
      </c>
      <c r="M15" s="88"/>
      <c r="N15" s="88"/>
      <c r="O15" s="88"/>
      <c r="P15" s="25" t="s">
        <v>48</v>
      </c>
      <c r="Q15" s="25" t="s">
        <v>43</v>
      </c>
      <c r="R15" s="25">
        <v>23.37</v>
      </c>
      <c r="S15" s="25">
        <v>23.37</v>
      </c>
      <c r="T15" s="25">
        <v>21.97</v>
      </c>
      <c r="U15" s="46">
        <f>94</f>
        <v>94</v>
      </c>
    </row>
    <row r="16" spans="1:21" ht="107.25" customHeight="1" thickTop="1" x14ac:dyDescent="0.2">
      <c r="A16" s="21"/>
      <c r="B16" s="22" t="s">
        <v>50</v>
      </c>
      <c r="C16" s="87" t="s">
        <v>1211</v>
      </c>
      <c r="D16" s="87"/>
      <c r="E16" s="87"/>
      <c r="F16" s="87"/>
      <c r="G16" s="87"/>
      <c r="H16" s="87"/>
      <c r="I16" s="87" t="s">
        <v>1212</v>
      </c>
      <c r="J16" s="87"/>
      <c r="K16" s="87"/>
      <c r="L16" s="87" t="s">
        <v>1213</v>
      </c>
      <c r="M16" s="87"/>
      <c r="N16" s="87"/>
      <c r="O16" s="87"/>
      <c r="P16" s="23" t="s">
        <v>1214</v>
      </c>
      <c r="Q16" s="23" t="s">
        <v>999</v>
      </c>
      <c r="R16" s="23">
        <v>569279958</v>
      </c>
      <c r="S16" s="23">
        <v>615485611</v>
      </c>
      <c r="T16" s="23">
        <v>648715167</v>
      </c>
      <c r="U16" s="45">
        <f>105.39</f>
        <v>105.39</v>
      </c>
    </row>
    <row r="17" spans="1:22" ht="85.5" customHeight="1" x14ac:dyDescent="0.2">
      <c r="A17" s="21"/>
      <c r="B17" s="24" t="s">
        <v>55</v>
      </c>
      <c r="C17" s="88" t="s">
        <v>55</v>
      </c>
      <c r="D17" s="88"/>
      <c r="E17" s="88"/>
      <c r="F17" s="88"/>
      <c r="G17" s="88"/>
      <c r="H17" s="88"/>
      <c r="I17" s="88" t="s">
        <v>1215</v>
      </c>
      <c r="J17" s="88"/>
      <c r="K17" s="88"/>
      <c r="L17" s="88" t="s">
        <v>1216</v>
      </c>
      <c r="M17" s="88"/>
      <c r="N17" s="88"/>
      <c r="O17" s="88"/>
      <c r="P17" s="25" t="s">
        <v>1214</v>
      </c>
      <c r="Q17" s="25" t="s">
        <v>43</v>
      </c>
      <c r="R17" s="25">
        <v>42305</v>
      </c>
      <c r="S17" s="25">
        <v>45738</v>
      </c>
      <c r="T17" s="25">
        <v>48207</v>
      </c>
      <c r="U17" s="46">
        <f>105.39</f>
        <v>105.39</v>
      </c>
    </row>
    <row r="18" spans="1:22" ht="85.5" customHeight="1" x14ac:dyDescent="0.2">
      <c r="A18" s="21"/>
      <c r="B18" s="24" t="s">
        <v>55</v>
      </c>
      <c r="C18" s="88" t="s">
        <v>55</v>
      </c>
      <c r="D18" s="88"/>
      <c r="E18" s="88"/>
      <c r="F18" s="88"/>
      <c r="G18" s="88"/>
      <c r="H18" s="88"/>
      <c r="I18" s="88" t="s">
        <v>1217</v>
      </c>
      <c r="J18" s="88"/>
      <c r="K18" s="88"/>
      <c r="L18" s="88" t="s">
        <v>1218</v>
      </c>
      <c r="M18" s="88"/>
      <c r="N18" s="88"/>
      <c r="O18" s="88"/>
      <c r="P18" s="25" t="s">
        <v>1219</v>
      </c>
      <c r="Q18" s="25" t="s">
        <v>716</v>
      </c>
      <c r="R18" s="25">
        <v>9668</v>
      </c>
      <c r="S18" s="25">
        <v>8503</v>
      </c>
      <c r="T18" s="25">
        <v>8609.9</v>
      </c>
      <c r="U18" s="46">
        <f>101.25</f>
        <v>101.25</v>
      </c>
    </row>
    <row r="19" spans="1:22" ht="85.5" customHeight="1" x14ac:dyDescent="0.2">
      <c r="A19" s="21"/>
      <c r="B19" s="24" t="s">
        <v>55</v>
      </c>
      <c r="C19" s="88" t="s">
        <v>55</v>
      </c>
      <c r="D19" s="88"/>
      <c r="E19" s="88"/>
      <c r="F19" s="88"/>
      <c r="G19" s="88"/>
      <c r="H19" s="88"/>
      <c r="I19" s="88" t="s">
        <v>1220</v>
      </c>
      <c r="J19" s="88"/>
      <c r="K19" s="88"/>
      <c r="L19" s="88" t="s">
        <v>1221</v>
      </c>
      <c r="M19" s="88"/>
      <c r="N19" s="88"/>
      <c r="O19" s="88"/>
      <c r="P19" s="25" t="s">
        <v>1222</v>
      </c>
      <c r="Q19" s="25" t="s">
        <v>43</v>
      </c>
      <c r="R19" s="25">
        <v>5368401</v>
      </c>
      <c r="S19" s="25">
        <v>4721428</v>
      </c>
      <c r="T19" s="25">
        <v>5463667</v>
      </c>
      <c r="U19" s="46">
        <f>115.72</f>
        <v>115.72</v>
      </c>
    </row>
    <row r="20" spans="1:22" ht="85.5" customHeight="1" x14ac:dyDescent="0.2">
      <c r="A20" s="21"/>
      <c r="B20" s="24" t="s">
        <v>55</v>
      </c>
      <c r="C20" s="88" t="s">
        <v>55</v>
      </c>
      <c r="D20" s="88"/>
      <c r="E20" s="88"/>
      <c r="F20" s="88"/>
      <c r="G20" s="88"/>
      <c r="H20" s="88"/>
      <c r="I20" s="88" t="s">
        <v>1223</v>
      </c>
      <c r="J20" s="88"/>
      <c r="K20" s="88"/>
      <c r="L20" s="88" t="s">
        <v>1224</v>
      </c>
      <c r="M20" s="88"/>
      <c r="N20" s="88"/>
      <c r="O20" s="88"/>
      <c r="P20" s="25" t="s">
        <v>1225</v>
      </c>
      <c r="Q20" s="25" t="s">
        <v>1226</v>
      </c>
      <c r="R20" s="25">
        <v>21363636</v>
      </c>
      <c r="S20" s="25">
        <v>21363636</v>
      </c>
      <c r="T20" s="25">
        <v>20794220</v>
      </c>
      <c r="U20" s="46">
        <f>97.33</f>
        <v>97.33</v>
      </c>
    </row>
    <row r="21" spans="1:22" ht="85.5" customHeight="1" x14ac:dyDescent="0.2">
      <c r="A21" s="21"/>
      <c r="B21" s="24" t="s">
        <v>55</v>
      </c>
      <c r="C21" s="88" t="s">
        <v>55</v>
      </c>
      <c r="D21" s="88"/>
      <c r="E21" s="88"/>
      <c r="F21" s="88"/>
      <c r="G21" s="88"/>
      <c r="H21" s="88"/>
      <c r="I21" s="88" t="s">
        <v>1227</v>
      </c>
      <c r="J21" s="88"/>
      <c r="K21" s="88"/>
      <c r="L21" s="88" t="s">
        <v>1228</v>
      </c>
      <c r="M21" s="88"/>
      <c r="N21" s="88"/>
      <c r="O21" s="88"/>
      <c r="P21" s="25" t="s">
        <v>1225</v>
      </c>
      <c r="Q21" s="25" t="s">
        <v>1226</v>
      </c>
      <c r="R21" s="25">
        <v>15243</v>
      </c>
      <c r="S21" s="25">
        <v>15243</v>
      </c>
      <c r="T21" s="25">
        <v>14837</v>
      </c>
      <c r="U21" s="46">
        <f>97.33</f>
        <v>97.33</v>
      </c>
    </row>
    <row r="22" spans="1:22" ht="85.5" customHeight="1" x14ac:dyDescent="0.2">
      <c r="A22" s="21"/>
      <c r="B22" s="24" t="s">
        <v>55</v>
      </c>
      <c r="C22" s="88" t="s">
        <v>55</v>
      </c>
      <c r="D22" s="88"/>
      <c r="E22" s="88"/>
      <c r="F22" s="88"/>
      <c r="G22" s="88"/>
      <c r="H22" s="88"/>
      <c r="I22" s="88" t="s">
        <v>1229</v>
      </c>
      <c r="J22" s="88"/>
      <c r="K22" s="88"/>
      <c r="L22" s="88" t="s">
        <v>1230</v>
      </c>
      <c r="M22" s="88"/>
      <c r="N22" s="88"/>
      <c r="O22" s="88"/>
      <c r="P22" s="25" t="s">
        <v>1225</v>
      </c>
      <c r="Q22" s="25" t="s">
        <v>1226</v>
      </c>
      <c r="R22" s="25">
        <v>14408</v>
      </c>
      <c r="S22" s="25">
        <v>13239</v>
      </c>
      <c r="T22" s="25">
        <v>13239.22</v>
      </c>
      <c r="U22" s="46">
        <f>100</f>
        <v>100</v>
      </c>
    </row>
    <row r="23" spans="1:22" ht="85.5" customHeight="1" thickBot="1" x14ac:dyDescent="0.25">
      <c r="A23" s="21"/>
      <c r="B23" s="24" t="s">
        <v>55</v>
      </c>
      <c r="C23" s="88" t="s">
        <v>55</v>
      </c>
      <c r="D23" s="88"/>
      <c r="E23" s="88"/>
      <c r="F23" s="88"/>
      <c r="G23" s="88"/>
      <c r="H23" s="88"/>
      <c r="I23" s="88" t="s">
        <v>1231</v>
      </c>
      <c r="J23" s="88"/>
      <c r="K23" s="88"/>
      <c r="L23" s="88" t="s">
        <v>1232</v>
      </c>
      <c r="M23" s="88"/>
      <c r="N23" s="88"/>
      <c r="O23" s="88"/>
      <c r="P23" s="25" t="s">
        <v>1225</v>
      </c>
      <c r="Q23" s="25" t="s">
        <v>43</v>
      </c>
      <c r="R23" s="25">
        <v>261960</v>
      </c>
      <c r="S23" s="25">
        <v>20797911</v>
      </c>
      <c r="T23" s="25">
        <v>20797911</v>
      </c>
      <c r="U23" s="46">
        <f>100</f>
        <v>100</v>
      </c>
    </row>
    <row r="24" spans="1:22" ht="75" customHeight="1" thickTop="1" thickBot="1" x14ac:dyDescent="0.25">
      <c r="A24" s="21"/>
      <c r="B24" s="22" t="s">
        <v>61</v>
      </c>
      <c r="C24" s="87" t="s">
        <v>1233</v>
      </c>
      <c r="D24" s="87"/>
      <c r="E24" s="87"/>
      <c r="F24" s="87"/>
      <c r="G24" s="87"/>
      <c r="H24" s="87"/>
      <c r="I24" s="87" t="s">
        <v>1234</v>
      </c>
      <c r="J24" s="87"/>
      <c r="K24" s="87"/>
      <c r="L24" s="87" t="s">
        <v>1235</v>
      </c>
      <c r="M24" s="87"/>
      <c r="N24" s="87"/>
      <c r="O24" s="87"/>
      <c r="P24" s="23" t="s">
        <v>48</v>
      </c>
      <c r="Q24" s="23" t="s">
        <v>999</v>
      </c>
      <c r="R24" s="23">
        <v>100</v>
      </c>
      <c r="S24" s="23">
        <v>100</v>
      </c>
      <c r="T24" s="23">
        <v>108.3</v>
      </c>
      <c r="U24" s="45">
        <f>108.3</f>
        <v>108.3</v>
      </c>
    </row>
    <row r="25" spans="1:22" ht="14.25" customHeight="1" thickTop="1" thickBot="1" x14ac:dyDescent="0.25">
      <c r="B25" s="4" t="s">
        <v>80</v>
      </c>
      <c r="C25" s="5"/>
      <c r="D25" s="5"/>
      <c r="E25" s="5"/>
      <c r="F25" s="5"/>
      <c r="G25" s="5"/>
      <c r="H25" s="6"/>
      <c r="I25" s="6"/>
      <c r="J25" s="6"/>
      <c r="K25" s="6"/>
      <c r="L25" s="6"/>
      <c r="M25" s="6"/>
      <c r="N25" s="6"/>
      <c r="O25" s="6"/>
      <c r="P25" s="6"/>
      <c r="Q25" s="6"/>
      <c r="R25" s="6"/>
      <c r="S25" s="6"/>
      <c r="T25" s="6"/>
      <c r="U25" s="7"/>
      <c r="V25" s="26"/>
    </row>
    <row r="26" spans="1:22" ht="26.25" customHeight="1" thickTop="1" x14ac:dyDescent="0.2">
      <c r="B26" s="27"/>
      <c r="C26" s="28"/>
      <c r="D26" s="28"/>
      <c r="E26" s="28"/>
      <c r="F26" s="28"/>
      <c r="G26" s="28"/>
      <c r="H26" s="29"/>
      <c r="I26" s="29"/>
      <c r="J26" s="29"/>
      <c r="K26" s="29"/>
      <c r="L26" s="29"/>
      <c r="M26" s="29"/>
      <c r="N26" s="29"/>
      <c r="O26" s="29"/>
      <c r="P26" s="29"/>
      <c r="Q26" s="29"/>
      <c r="R26" s="30"/>
      <c r="S26" s="31" t="s">
        <v>33</v>
      </c>
      <c r="T26" s="31" t="s">
        <v>81</v>
      </c>
      <c r="U26" s="18" t="s">
        <v>82</v>
      </c>
    </row>
    <row r="27" spans="1:22" ht="26.25" customHeight="1" thickBot="1" x14ac:dyDescent="0.25">
      <c r="B27" s="32"/>
      <c r="C27" s="33"/>
      <c r="D27" s="33"/>
      <c r="E27" s="33"/>
      <c r="F27" s="33"/>
      <c r="G27" s="33"/>
      <c r="H27" s="34"/>
      <c r="I27" s="34"/>
      <c r="J27" s="34"/>
      <c r="K27" s="34"/>
      <c r="L27" s="34"/>
      <c r="M27" s="34"/>
      <c r="N27" s="34"/>
      <c r="O27" s="34"/>
      <c r="P27" s="34"/>
      <c r="Q27" s="34"/>
      <c r="R27" s="34"/>
      <c r="S27" s="35" t="s">
        <v>83</v>
      </c>
      <c r="T27" s="36" t="s">
        <v>83</v>
      </c>
      <c r="U27" s="36" t="s">
        <v>84</v>
      </c>
    </row>
    <row r="28" spans="1:22" ht="13.5" customHeight="1" thickBot="1" x14ac:dyDescent="0.25">
      <c r="B28" s="92" t="s">
        <v>85</v>
      </c>
      <c r="C28" s="93"/>
      <c r="D28" s="93"/>
      <c r="E28" s="37"/>
      <c r="F28" s="37"/>
      <c r="G28" s="37"/>
      <c r="H28" s="38"/>
      <c r="I28" s="38"/>
      <c r="J28" s="38"/>
      <c r="K28" s="38"/>
      <c r="L28" s="38"/>
      <c r="M28" s="38"/>
      <c r="N28" s="38"/>
      <c r="O28" s="38"/>
      <c r="P28" s="39"/>
      <c r="Q28" s="39"/>
      <c r="R28" s="39"/>
      <c r="S28" s="48">
        <v>60446.963596000001</v>
      </c>
      <c r="T28" s="48">
        <v>64795.343556300024</v>
      </c>
      <c r="U28" s="49">
        <f>+IF(ISERR(T28/S28*100),"N/A",ROUND(T28/S28*100,1))</f>
        <v>107.2</v>
      </c>
    </row>
    <row r="29" spans="1:22" ht="13.5" customHeight="1" thickBot="1" x14ac:dyDescent="0.25">
      <c r="B29" s="94" t="s">
        <v>86</v>
      </c>
      <c r="C29" s="95"/>
      <c r="D29" s="95"/>
      <c r="E29" s="40"/>
      <c r="F29" s="40"/>
      <c r="G29" s="40"/>
      <c r="H29" s="41"/>
      <c r="I29" s="41"/>
      <c r="J29" s="41"/>
      <c r="K29" s="41"/>
      <c r="L29" s="41"/>
      <c r="M29" s="41"/>
      <c r="N29" s="41"/>
      <c r="O29" s="41"/>
      <c r="P29" s="42"/>
      <c r="Q29" s="42"/>
      <c r="R29" s="42"/>
      <c r="S29" s="48">
        <v>64795.343556300024</v>
      </c>
      <c r="T29" s="48">
        <v>64795.343556300024</v>
      </c>
      <c r="U29" s="49">
        <f>+IF(ISERR(T29/S29*100),"N/A",ROUND(T29/S29*100,1))</f>
        <v>100</v>
      </c>
    </row>
    <row r="30" spans="1:22" ht="14.85" customHeight="1" thickTop="1" thickBot="1" x14ac:dyDescent="0.25">
      <c r="B30" s="4" t="s">
        <v>87</v>
      </c>
      <c r="C30" s="5"/>
      <c r="D30" s="5"/>
      <c r="E30" s="5"/>
      <c r="F30" s="5"/>
      <c r="G30" s="5"/>
      <c r="H30" s="6"/>
      <c r="I30" s="6"/>
      <c r="J30" s="6"/>
      <c r="K30" s="6"/>
      <c r="L30" s="6"/>
      <c r="M30" s="6"/>
      <c r="N30" s="6"/>
      <c r="O30" s="6"/>
      <c r="P30" s="6"/>
      <c r="Q30" s="6"/>
      <c r="R30" s="6"/>
      <c r="S30" s="6"/>
      <c r="T30" s="6"/>
      <c r="U30" s="7"/>
    </row>
    <row r="31" spans="1:22" ht="44.25" customHeight="1" thickTop="1" x14ac:dyDescent="0.2">
      <c r="B31" s="89" t="s">
        <v>88</v>
      </c>
      <c r="C31" s="90"/>
      <c r="D31" s="90"/>
      <c r="E31" s="90"/>
      <c r="F31" s="90"/>
      <c r="G31" s="90"/>
      <c r="H31" s="90"/>
      <c r="I31" s="90"/>
      <c r="J31" s="90"/>
      <c r="K31" s="90"/>
      <c r="L31" s="90"/>
      <c r="M31" s="90"/>
      <c r="N31" s="90"/>
      <c r="O31" s="90"/>
      <c r="P31" s="90"/>
      <c r="Q31" s="90"/>
      <c r="R31" s="90"/>
      <c r="S31" s="90"/>
      <c r="T31" s="90"/>
      <c r="U31" s="91"/>
    </row>
    <row r="32" spans="1:22" ht="54" customHeight="1" x14ac:dyDescent="0.2">
      <c r="B32" s="96" t="s">
        <v>1236</v>
      </c>
      <c r="C32" s="97"/>
      <c r="D32" s="97"/>
      <c r="E32" s="97"/>
      <c r="F32" s="97"/>
      <c r="G32" s="97"/>
      <c r="H32" s="97"/>
      <c r="I32" s="97"/>
      <c r="J32" s="97"/>
      <c r="K32" s="97"/>
      <c r="L32" s="97"/>
      <c r="M32" s="97"/>
      <c r="N32" s="97"/>
      <c r="O32" s="97"/>
      <c r="P32" s="97"/>
      <c r="Q32" s="97"/>
      <c r="R32" s="97"/>
      <c r="S32" s="97"/>
      <c r="T32" s="97"/>
      <c r="U32" s="98"/>
    </row>
    <row r="33" spans="2:21" ht="120.75" customHeight="1" x14ac:dyDescent="0.2">
      <c r="B33" s="96" t="s">
        <v>1237</v>
      </c>
      <c r="C33" s="97"/>
      <c r="D33" s="97"/>
      <c r="E33" s="97"/>
      <c r="F33" s="97"/>
      <c r="G33" s="97"/>
      <c r="H33" s="97"/>
      <c r="I33" s="97"/>
      <c r="J33" s="97"/>
      <c r="K33" s="97"/>
      <c r="L33" s="97"/>
      <c r="M33" s="97"/>
      <c r="N33" s="97"/>
      <c r="O33" s="97"/>
      <c r="P33" s="97"/>
      <c r="Q33" s="97"/>
      <c r="R33" s="97"/>
      <c r="S33" s="97"/>
      <c r="T33" s="97"/>
      <c r="U33" s="98"/>
    </row>
    <row r="34" spans="2:21" ht="60" customHeight="1" x14ac:dyDescent="0.2">
      <c r="B34" s="96" t="s">
        <v>1238</v>
      </c>
      <c r="C34" s="97"/>
      <c r="D34" s="97"/>
      <c r="E34" s="97"/>
      <c r="F34" s="97"/>
      <c r="G34" s="97"/>
      <c r="H34" s="97"/>
      <c r="I34" s="97"/>
      <c r="J34" s="97"/>
      <c r="K34" s="97"/>
      <c r="L34" s="97"/>
      <c r="M34" s="97"/>
      <c r="N34" s="97"/>
      <c r="O34" s="97"/>
      <c r="P34" s="97"/>
      <c r="Q34" s="97"/>
      <c r="R34" s="97"/>
      <c r="S34" s="97"/>
      <c r="T34" s="97"/>
      <c r="U34" s="98"/>
    </row>
    <row r="35" spans="2:21" ht="189.75" customHeight="1" x14ac:dyDescent="0.2">
      <c r="B35" s="96" t="s">
        <v>1239</v>
      </c>
      <c r="C35" s="97"/>
      <c r="D35" s="97"/>
      <c r="E35" s="97"/>
      <c r="F35" s="97"/>
      <c r="G35" s="97"/>
      <c r="H35" s="97"/>
      <c r="I35" s="97"/>
      <c r="J35" s="97"/>
      <c r="K35" s="97"/>
      <c r="L35" s="97"/>
      <c r="M35" s="97"/>
      <c r="N35" s="97"/>
      <c r="O35" s="97"/>
      <c r="P35" s="97"/>
      <c r="Q35" s="97"/>
      <c r="R35" s="97"/>
      <c r="S35" s="97"/>
      <c r="T35" s="97"/>
      <c r="U35" s="98"/>
    </row>
    <row r="36" spans="2:21" ht="150.75" customHeight="1" x14ac:dyDescent="0.2">
      <c r="B36" s="96" t="s">
        <v>1240</v>
      </c>
      <c r="C36" s="97"/>
      <c r="D36" s="97"/>
      <c r="E36" s="97"/>
      <c r="F36" s="97"/>
      <c r="G36" s="97"/>
      <c r="H36" s="97"/>
      <c r="I36" s="97"/>
      <c r="J36" s="97"/>
      <c r="K36" s="97"/>
      <c r="L36" s="97"/>
      <c r="M36" s="97"/>
      <c r="N36" s="97"/>
      <c r="O36" s="97"/>
      <c r="P36" s="97"/>
      <c r="Q36" s="97"/>
      <c r="R36" s="97"/>
      <c r="S36" s="97"/>
      <c r="T36" s="97"/>
      <c r="U36" s="98"/>
    </row>
    <row r="37" spans="2:21" ht="48.75" customHeight="1" x14ac:dyDescent="0.2">
      <c r="B37" s="96" t="s">
        <v>1241</v>
      </c>
      <c r="C37" s="97"/>
      <c r="D37" s="97"/>
      <c r="E37" s="97"/>
      <c r="F37" s="97"/>
      <c r="G37" s="97"/>
      <c r="H37" s="97"/>
      <c r="I37" s="97"/>
      <c r="J37" s="97"/>
      <c r="K37" s="97"/>
      <c r="L37" s="97"/>
      <c r="M37" s="97"/>
      <c r="N37" s="97"/>
      <c r="O37" s="97"/>
      <c r="P37" s="97"/>
      <c r="Q37" s="97"/>
      <c r="R37" s="97"/>
      <c r="S37" s="97"/>
      <c r="T37" s="97"/>
      <c r="U37" s="98"/>
    </row>
    <row r="38" spans="2:21" ht="64.5" customHeight="1" x14ac:dyDescent="0.2">
      <c r="B38" s="96" t="s">
        <v>1242</v>
      </c>
      <c r="C38" s="97"/>
      <c r="D38" s="97"/>
      <c r="E38" s="97"/>
      <c r="F38" s="97"/>
      <c r="G38" s="97"/>
      <c r="H38" s="97"/>
      <c r="I38" s="97"/>
      <c r="J38" s="97"/>
      <c r="K38" s="97"/>
      <c r="L38" s="97"/>
      <c r="M38" s="97"/>
      <c r="N38" s="97"/>
      <c r="O38" s="97"/>
      <c r="P38" s="97"/>
      <c r="Q38" s="97"/>
      <c r="R38" s="97"/>
      <c r="S38" s="97"/>
      <c r="T38" s="97"/>
      <c r="U38" s="98"/>
    </row>
    <row r="39" spans="2:21" ht="45" customHeight="1" x14ac:dyDescent="0.2">
      <c r="B39" s="96" t="s">
        <v>1243</v>
      </c>
      <c r="C39" s="97"/>
      <c r="D39" s="97"/>
      <c r="E39" s="97"/>
      <c r="F39" s="97"/>
      <c r="G39" s="97"/>
      <c r="H39" s="97"/>
      <c r="I39" s="97"/>
      <c r="J39" s="97"/>
      <c r="K39" s="97"/>
      <c r="L39" s="97"/>
      <c r="M39" s="97"/>
      <c r="N39" s="97"/>
      <c r="O39" s="97"/>
      <c r="P39" s="97"/>
      <c r="Q39" s="97"/>
      <c r="R39" s="97"/>
      <c r="S39" s="97"/>
      <c r="T39" s="97"/>
      <c r="U39" s="98"/>
    </row>
    <row r="40" spans="2:21" ht="53.25" customHeight="1" x14ac:dyDescent="0.2">
      <c r="B40" s="96" t="s">
        <v>1244</v>
      </c>
      <c r="C40" s="97"/>
      <c r="D40" s="97"/>
      <c r="E40" s="97"/>
      <c r="F40" s="97"/>
      <c r="G40" s="97"/>
      <c r="H40" s="97"/>
      <c r="I40" s="97"/>
      <c r="J40" s="97"/>
      <c r="K40" s="97"/>
      <c r="L40" s="97"/>
      <c r="M40" s="97"/>
      <c r="N40" s="97"/>
      <c r="O40" s="97"/>
      <c r="P40" s="97"/>
      <c r="Q40" s="97"/>
      <c r="R40" s="97"/>
      <c r="S40" s="97"/>
      <c r="T40" s="97"/>
      <c r="U40" s="98"/>
    </row>
    <row r="41" spans="2:21" ht="131.25" customHeight="1" x14ac:dyDescent="0.2">
      <c r="B41" s="96" t="s">
        <v>1245</v>
      </c>
      <c r="C41" s="97"/>
      <c r="D41" s="97"/>
      <c r="E41" s="97"/>
      <c r="F41" s="97"/>
      <c r="G41" s="97"/>
      <c r="H41" s="97"/>
      <c r="I41" s="97"/>
      <c r="J41" s="97"/>
      <c r="K41" s="97"/>
      <c r="L41" s="97"/>
      <c r="M41" s="97"/>
      <c r="N41" s="97"/>
      <c r="O41" s="97"/>
      <c r="P41" s="97"/>
      <c r="Q41" s="97"/>
      <c r="R41" s="97"/>
      <c r="S41" s="97"/>
      <c r="T41" s="97"/>
      <c r="U41" s="98"/>
    </row>
    <row r="42" spans="2:21" ht="52.5" customHeight="1" x14ac:dyDescent="0.2">
      <c r="B42" s="96" t="s">
        <v>1246</v>
      </c>
      <c r="C42" s="97"/>
      <c r="D42" s="97"/>
      <c r="E42" s="97"/>
      <c r="F42" s="97"/>
      <c r="G42" s="97"/>
      <c r="H42" s="97"/>
      <c r="I42" s="97"/>
      <c r="J42" s="97"/>
      <c r="K42" s="97"/>
      <c r="L42" s="97"/>
      <c r="M42" s="97"/>
      <c r="N42" s="97"/>
      <c r="O42" s="97"/>
      <c r="P42" s="97"/>
      <c r="Q42" s="97"/>
      <c r="R42" s="97"/>
      <c r="S42" s="97"/>
      <c r="T42" s="97"/>
      <c r="U42" s="98"/>
    </row>
    <row r="43" spans="2:21" ht="89.45" customHeight="1" x14ac:dyDescent="0.2">
      <c r="B43" s="96" t="s">
        <v>1247</v>
      </c>
      <c r="C43" s="97"/>
      <c r="D43" s="97"/>
      <c r="E43" s="97"/>
      <c r="F43" s="97"/>
      <c r="G43" s="97"/>
      <c r="H43" s="97"/>
      <c r="I43" s="97"/>
      <c r="J43" s="97"/>
      <c r="K43" s="97"/>
      <c r="L43" s="97"/>
      <c r="M43" s="97"/>
      <c r="N43" s="97"/>
      <c r="O43" s="97"/>
      <c r="P43" s="97"/>
      <c r="Q43" s="97"/>
      <c r="R43" s="97"/>
      <c r="S43" s="97"/>
      <c r="T43" s="97"/>
      <c r="U43" s="98"/>
    </row>
    <row r="44" spans="2:21" ht="106.35" customHeight="1" x14ac:dyDescent="0.2">
      <c r="B44" s="96" t="s">
        <v>1248</v>
      </c>
      <c r="C44" s="97"/>
      <c r="D44" s="97"/>
      <c r="E44" s="97"/>
      <c r="F44" s="97"/>
      <c r="G44" s="97"/>
      <c r="H44" s="97"/>
      <c r="I44" s="97"/>
      <c r="J44" s="97"/>
      <c r="K44" s="97"/>
      <c r="L44" s="97"/>
      <c r="M44" s="97"/>
      <c r="N44" s="97"/>
      <c r="O44" s="97"/>
      <c r="P44" s="97"/>
      <c r="Q44" s="97"/>
      <c r="R44" s="97"/>
      <c r="S44" s="97"/>
      <c r="T44" s="97"/>
      <c r="U44" s="98"/>
    </row>
    <row r="45" spans="2:21" ht="133.5" customHeight="1" thickBot="1" x14ac:dyDescent="0.25">
      <c r="B45" s="99" t="s">
        <v>1249</v>
      </c>
      <c r="C45" s="100"/>
      <c r="D45" s="100"/>
      <c r="E45" s="100"/>
      <c r="F45" s="100"/>
      <c r="G45" s="100"/>
      <c r="H45" s="100"/>
      <c r="I45" s="100"/>
      <c r="J45" s="100"/>
      <c r="K45" s="100"/>
      <c r="L45" s="100"/>
      <c r="M45" s="100"/>
      <c r="N45" s="100"/>
      <c r="O45" s="100"/>
      <c r="P45" s="100"/>
      <c r="Q45" s="100"/>
      <c r="R45" s="100"/>
      <c r="S45" s="100"/>
      <c r="T45" s="100"/>
      <c r="U45" s="101"/>
    </row>
  </sheetData>
  <mergeCells count="80">
    <mergeCell ref="B44:U44"/>
    <mergeCell ref="B45:U45"/>
    <mergeCell ref="B38:U38"/>
    <mergeCell ref="B39:U39"/>
    <mergeCell ref="B40:U40"/>
    <mergeCell ref="B41:U41"/>
    <mergeCell ref="B42:U42"/>
    <mergeCell ref="B43:U43"/>
    <mergeCell ref="B37:U37"/>
    <mergeCell ref="C24:H24"/>
    <mergeCell ref="I24:K24"/>
    <mergeCell ref="L24:O24"/>
    <mergeCell ref="B28:D28"/>
    <mergeCell ref="B29:D29"/>
    <mergeCell ref="B31:U31"/>
    <mergeCell ref="B32:U32"/>
    <mergeCell ref="B33:U33"/>
    <mergeCell ref="B34:U34"/>
    <mergeCell ref="B35:U35"/>
    <mergeCell ref="B36:U36"/>
    <mergeCell ref="C22:H22"/>
    <mergeCell ref="I22:K22"/>
    <mergeCell ref="L22:O22"/>
    <mergeCell ref="C23:H23"/>
    <mergeCell ref="I23:K23"/>
    <mergeCell ref="L23:O23"/>
    <mergeCell ref="C20:H20"/>
    <mergeCell ref="I20:K20"/>
    <mergeCell ref="L20:O20"/>
    <mergeCell ref="C21:H21"/>
    <mergeCell ref="I21:K21"/>
    <mergeCell ref="L21:O21"/>
    <mergeCell ref="C18:H18"/>
    <mergeCell ref="I18:K18"/>
    <mergeCell ref="L18:O18"/>
    <mergeCell ref="C19:H19"/>
    <mergeCell ref="I19:K19"/>
    <mergeCell ref="L19:O19"/>
    <mergeCell ref="C16:H16"/>
    <mergeCell ref="I16:K16"/>
    <mergeCell ref="L16:O16"/>
    <mergeCell ref="C17:H17"/>
    <mergeCell ref="I17:K17"/>
    <mergeCell ref="L17:O17"/>
    <mergeCell ref="C14:H14"/>
    <mergeCell ref="I14:K14"/>
    <mergeCell ref="L14:O14"/>
    <mergeCell ref="C15:H15"/>
    <mergeCell ref="I15:K15"/>
    <mergeCell ref="L15:O15"/>
    <mergeCell ref="C12:H12"/>
    <mergeCell ref="I12:K12"/>
    <mergeCell ref="L12:O12"/>
    <mergeCell ref="C13:H13"/>
    <mergeCell ref="I13:K13"/>
    <mergeCell ref="L13:O13"/>
    <mergeCell ref="C11:H11"/>
    <mergeCell ref="I11:K11"/>
    <mergeCell ref="L11:O11"/>
    <mergeCell ref="C6:G6"/>
    <mergeCell ref="K6:M6"/>
    <mergeCell ref="P6:Q6"/>
    <mergeCell ref="T6:U6"/>
    <mergeCell ref="B8:B10"/>
    <mergeCell ref="C8:H10"/>
    <mergeCell ref="I8:S8"/>
    <mergeCell ref="T8:U8"/>
    <mergeCell ref="I9:K10"/>
    <mergeCell ref="L9:O10"/>
    <mergeCell ref="P9:P10"/>
    <mergeCell ref="Q9:Q10"/>
    <mergeCell ref="R9:S9"/>
    <mergeCell ref="T9:T10"/>
    <mergeCell ref="U9:U10"/>
    <mergeCell ref="B5:U5"/>
    <mergeCell ref="B1:L1"/>
    <mergeCell ref="D4:H4"/>
    <mergeCell ref="L4:O4"/>
    <mergeCell ref="Q4:R4"/>
    <mergeCell ref="T4:U4"/>
  </mergeCells>
  <printOptions horizontalCentered="1"/>
  <pageMargins left="0.78740157480314965" right="0.78740157480314965" top="0.98425196850393704" bottom="0.98425196850393704" header="0" footer="0.39370078740157483"/>
  <pageSetup scale="56" fitToHeight="10" orientation="landscape" r:id="rId1"/>
  <headerFooter>
    <oddFooter>&amp;R&amp;P de &amp;N</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25"/>
  <sheetViews>
    <sheetView view="pageBreakPreview" topLeftCell="A4" zoomScale="80" zoomScaleNormal="80" zoomScaleSheetLayoutView="80" workbookViewId="0">
      <selection activeCell="U12" sqref="T12:U12"/>
    </sheetView>
  </sheetViews>
  <sheetFormatPr baseColWidth="10" defaultColWidth="10" defaultRowHeight="12.75" x14ac:dyDescent="0.2"/>
  <cols>
    <col min="1" max="1" width="3.5" style="1" customWidth="1"/>
    <col min="2" max="2" width="14.7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9.625" style="1" customWidth="1"/>
    <col min="19" max="19" width="13" style="1" customWidth="1"/>
    <col min="20" max="20" width="10.75" style="1" customWidth="1"/>
    <col min="21" max="21" width="11.37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2" s="2" customFormat="1" ht="48" customHeight="1" x14ac:dyDescent="0.2">
      <c r="B1" s="50" t="s">
        <v>0</v>
      </c>
      <c r="C1" s="50"/>
      <c r="D1" s="50"/>
      <c r="E1" s="50"/>
      <c r="F1" s="50"/>
      <c r="G1" s="50"/>
      <c r="H1" s="50"/>
      <c r="I1" s="50"/>
      <c r="J1" s="50"/>
      <c r="K1" s="50"/>
      <c r="L1" s="50"/>
      <c r="M1" s="3" t="s">
        <v>1</v>
      </c>
    </row>
    <row r="2" spans="1:22" ht="13.5" customHeight="1" thickBot="1" x14ac:dyDescent="0.25"/>
    <row r="3" spans="1:22" ht="13.5" customHeight="1" thickTop="1" thickBot="1" x14ac:dyDescent="0.25">
      <c r="B3" s="4" t="s">
        <v>5</v>
      </c>
      <c r="C3" s="5"/>
      <c r="D3" s="5"/>
      <c r="E3" s="5"/>
      <c r="F3" s="5"/>
      <c r="G3" s="5"/>
      <c r="H3" s="6"/>
      <c r="I3" s="6"/>
      <c r="J3" s="6"/>
      <c r="K3" s="6"/>
      <c r="L3" s="6"/>
      <c r="M3" s="6"/>
      <c r="N3" s="6"/>
      <c r="O3" s="6"/>
      <c r="P3" s="6"/>
      <c r="Q3" s="6"/>
      <c r="R3" s="6"/>
      <c r="S3" s="6"/>
      <c r="T3" s="6"/>
      <c r="U3" s="7"/>
    </row>
    <row r="4" spans="1:22" ht="51.75" customHeight="1" thickTop="1" x14ac:dyDescent="0.2">
      <c r="B4" s="8" t="s">
        <v>6</v>
      </c>
      <c r="C4" s="9" t="s">
        <v>1250</v>
      </c>
      <c r="D4" s="57" t="s">
        <v>1251</v>
      </c>
      <c r="E4" s="57"/>
      <c r="F4" s="57"/>
      <c r="G4" s="57"/>
      <c r="H4" s="57"/>
      <c r="I4" s="10"/>
      <c r="J4" s="11" t="s">
        <v>9</v>
      </c>
      <c r="K4" s="12" t="s">
        <v>10</v>
      </c>
      <c r="L4" s="58" t="s">
        <v>11</v>
      </c>
      <c r="M4" s="58"/>
      <c r="N4" s="58"/>
      <c r="O4" s="58"/>
      <c r="P4" s="11" t="s">
        <v>12</v>
      </c>
      <c r="Q4" s="58" t="s">
        <v>523</v>
      </c>
      <c r="R4" s="58"/>
      <c r="S4" s="11" t="s">
        <v>14</v>
      </c>
      <c r="T4" s="58"/>
      <c r="U4" s="59"/>
    </row>
    <row r="5" spans="1:22" ht="15.75" customHeight="1" x14ac:dyDescent="0.2">
      <c r="B5" s="54" t="s">
        <v>15</v>
      </c>
      <c r="C5" s="55"/>
      <c r="D5" s="55"/>
      <c r="E5" s="55"/>
      <c r="F5" s="55"/>
      <c r="G5" s="55"/>
      <c r="H5" s="55"/>
      <c r="I5" s="55"/>
      <c r="J5" s="55"/>
      <c r="K5" s="55"/>
      <c r="L5" s="55"/>
      <c r="M5" s="55"/>
      <c r="N5" s="55"/>
      <c r="O5" s="55"/>
      <c r="P5" s="55"/>
      <c r="Q5" s="55"/>
      <c r="R5" s="55"/>
      <c r="S5" s="55"/>
      <c r="T5" s="55"/>
      <c r="U5" s="56"/>
    </row>
    <row r="6" spans="1:22" ht="37.5" customHeight="1" thickBot="1" x14ac:dyDescent="0.25">
      <c r="B6" s="13" t="s">
        <v>16</v>
      </c>
      <c r="C6" s="60" t="s">
        <v>17</v>
      </c>
      <c r="D6" s="60"/>
      <c r="E6" s="60"/>
      <c r="F6" s="60"/>
      <c r="G6" s="60"/>
      <c r="H6" s="14"/>
      <c r="I6" s="14"/>
      <c r="J6" s="14" t="s">
        <v>18</v>
      </c>
      <c r="K6" s="60" t="s">
        <v>19</v>
      </c>
      <c r="L6" s="60"/>
      <c r="M6" s="60"/>
      <c r="N6" s="15"/>
      <c r="O6" s="16" t="s">
        <v>20</v>
      </c>
      <c r="P6" s="60" t="s">
        <v>524</v>
      </c>
      <c r="Q6" s="60"/>
      <c r="R6" s="17"/>
      <c r="S6" s="16" t="s">
        <v>22</v>
      </c>
      <c r="T6" s="60" t="s">
        <v>586</v>
      </c>
      <c r="U6" s="61"/>
    </row>
    <row r="7" spans="1:22" ht="14.25" customHeight="1" thickTop="1" thickBot="1" x14ac:dyDescent="0.25">
      <c r="B7" s="4" t="s">
        <v>24</v>
      </c>
      <c r="C7" s="5"/>
      <c r="D7" s="5"/>
      <c r="E7" s="5"/>
      <c r="F7" s="5"/>
      <c r="G7" s="5"/>
      <c r="H7" s="6"/>
      <c r="I7" s="6"/>
      <c r="J7" s="6"/>
      <c r="K7" s="6"/>
      <c r="L7" s="6"/>
      <c r="M7" s="6"/>
      <c r="N7" s="6"/>
      <c r="O7" s="6"/>
      <c r="P7" s="6"/>
      <c r="Q7" s="6"/>
      <c r="R7" s="6"/>
      <c r="S7" s="6"/>
      <c r="T7" s="6"/>
      <c r="U7" s="7"/>
    </row>
    <row r="8" spans="1:22" ht="16.5" customHeight="1" thickTop="1" x14ac:dyDescent="0.2">
      <c r="B8" s="62" t="s">
        <v>25</v>
      </c>
      <c r="C8" s="65" t="s">
        <v>26</v>
      </c>
      <c r="D8" s="66"/>
      <c r="E8" s="66"/>
      <c r="F8" s="66"/>
      <c r="G8" s="66"/>
      <c r="H8" s="67"/>
      <c r="I8" s="74" t="s">
        <v>27</v>
      </c>
      <c r="J8" s="75"/>
      <c r="K8" s="75"/>
      <c r="L8" s="75"/>
      <c r="M8" s="75"/>
      <c r="N8" s="75"/>
      <c r="O8" s="75"/>
      <c r="P8" s="75"/>
      <c r="Q8" s="75"/>
      <c r="R8" s="75"/>
      <c r="S8" s="76"/>
      <c r="T8" s="77" t="s">
        <v>28</v>
      </c>
      <c r="U8" s="78"/>
    </row>
    <row r="9" spans="1:22" ht="19.5" customHeight="1" x14ac:dyDescent="0.2">
      <c r="B9" s="63"/>
      <c r="C9" s="68"/>
      <c r="D9" s="69"/>
      <c r="E9" s="69"/>
      <c r="F9" s="69"/>
      <c r="G9" s="69"/>
      <c r="H9" s="70"/>
      <c r="I9" s="79" t="s">
        <v>29</v>
      </c>
      <c r="J9" s="80"/>
      <c r="K9" s="80"/>
      <c r="L9" s="80" t="s">
        <v>30</v>
      </c>
      <c r="M9" s="80"/>
      <c r="N9" s="80"/>
      <c r="O9" s="80"/>
      <c r="P9" s="80" t="s">
        <v>31</v>
      </c>
      <c r="Q9" s="80" t="s">
        <v>32</v>
      </c>
      <c r="R9" s="83" t="s">
        <v>33</v>
      </c>
      <c r="S9" s="84"/>
      <c r="T9" s="80" t="s">
        <v>34</v>
      </c>
      <c r="U9" s="85" t="s">
        <v>35</v>
      </c>
    </row>
    <row r="10" spans="1:22" ht="26.25" customHeight="1" thickBot="1" x14ac:dyDescent="0.25">
      <c r="B10" s="64"/>
      <c r="C10" s="71"/>
      <c r="D10" s="72"/>
      <c r="E10" s="72"/>
      <c r="F10" s="72"/>
      <c r="G10" s="72"/>
      <c r="H10" s="73"/>
      <c r="I10" s="81"/>
      <c r="J10" s="82"/>
      <c r="K10" s="82"/>
      <c r="L10" s="82"/>
      <c r="M10" s="82"/>
      <c r="N10" s="82"/>
      <c r="O10" s="82"/>
      <c r="P10" s="82"/>
      <c r="Q10" s="82"/>
      <c r="R10" s="19" t="s">
        <v>36</v>
      </c>
      <c r="S10" s="20" t="s">
        <v>37</v>
      </c>
      <c r="T10" s="82"/>
      <c r="U10" s="86"/>
    </row>
    <row r="11" spans="1:22" ht="93.75" customHeight="1" thickTop="1" thickBot="1" x14ac:dyDescent="0.25">
      <c r="A11" s="21"/>
      <c r="B11" s="22" t="s">
        <v>38</v>
      </c>
      <c r="C11" s="87" t="s">
        <v>1252</v>
      </c>
      <c r="D11" s="87"/>
      <c r="E11" s="87"/>
      <c r="F11" s="87"/>
      <c r="G11" s="87"/>
      <c r="H11" s="87"/>
      <c r="I11" s="87" t="s">
        <v>1253</v>
      </c>
      <c r="J11" s="87"/>
      <c r="K11" s="87"/>
      <c r="L11" s="87" t="s">
        <v>1254</v>
      </c>
      <c r="M11" s="87"/>
      <c r="N11" s="87"/>
      <c r="O11" s="87"/>
      <c r="P11" s="23" t="s">
        <v>1255</v>
      </c>
      <c r="Q11" s="23" t="s">
        <v>43</v>
      </c>
      <c r="R11" s="23">
        <v>6.32</v>
      </c>
      <c r="S11" s="23">
        <v>6.32</v>
      </c>
      <c r="T11" s="23">
        <v>6.32</v>
      </c>
      <c r="U11" s="47">
        <f>100</f>
        <v>100</v>
      </c>
    </row>
    <row r="12" spans="1:22" ht="75" customHeight="1" thickTop="1" thickBot="1" x14ac:dyDescent="0.25">
      <c r="A12" s="21"/>
      <c r="B12" s="22" t="s">
        <v>44</v>
      </c>
      <c r="C12" s="87" t="s">
        <v>1256</v>
      </c>
      <c r="D12" s="87"/>
      <c r="E12" s="87"/>
      <c r="F12" s="87"/>
      <c r="G12" s="87"/>
      <c r="H12" s="87"/>
      <c r="I12" s="87" t="s">
        <v>1257</v>
      </c>
      <c r="J12" s="87"/>
      <c r="K12" s="87"/>
      <c r="L12" s="87" t="s">
        <v>1258</v>
      </c>
      <c r="M12" s="87"/>
      <c r="N12" s="87"/>
      <c r="O12" s="87"/>
      <c r="P12" s="23" t="s">
        <v>59</v>
      </c>
      <c r="Q12" s="23" t="s">
        <v>43</v>
      </c>
      <c r="R12" s="23">
        <v>4.2300000000000004</v>
      </c>
      <c r="S12" s="23">
        <v>4.2300000000000004</v>
      </c>
      <c r="T12" s="104">
        <v>4.2300000000000004</v>
      </c>
      <c r="U12" s="108">
        <v>100</v>
      </c>
    </row>
    <row r="13" spans="1:22" ht="75" customHeight="1" thickTop="1" thickBot="1" x14ac:dyDescent="0.25">
      <c r="A13" s="21"/>
      <c r="B13" s="22" t="s">
        <v>50</v>
      </c>
      <c r="C13" s="87" t="s">
        <v>1259</v>
      </c>
      <c r="D13" s="87"/>
      <c r="E13" s="87"/>
      <c r="F13" s="87"/>
      <c r="G13" s="87"/>
      <c r="H13" s="87"/>
      <c r="I13" s="87" t="s">
        <v>1260</v>
      </c>
      <c r="J13" s="87"/>
      <c r="K13" s="87"/>
      <c r="L13" s="87" t="s">
        <v>1261</v>
      </c>
      <c r="M13" s="87"/>
      <c r="N13" s="87"/>
      <c r="O13" s="87"/>
      <c r="P13" s="23" t="s">
        <v>1262</v>
      </c>
      <c r="Q13" s="23" t="s">
        <v>71</v>
      </c>
      <c r="R13" s="23">
        <v>100</v>
      </c>
      <c r="S13" s="23">
        <v>100</v>
      </c>
      <c r="T13" s="23">
        <v>107.14</v>
      </c>
      <c r="U13" s="47">
        <f>107.14</f>
        <v>107.14</v>
      </c>
    </row>
    <row r="14" spans="1:22" ht="75" customHeight="1" thickTop="1" thickBot="1" x14ac:dyDescent="0.25">
      <c r="A14" s="21"/>
      <c r="B14" s="22" t="s">
        <v>61</v>
      </c>
      <c r="C14" s="87" t="s">
        <v>1263</v>
      </c>
      <c r="D14" s="87"/>
      <c r="E14" s="87"/>
      <c r="F14" s="87"/>
      <c r="G14" s="87"/>
      <c r="H14" s="87"/>
      <c r="I14" s="87" t="s">
        <v>1264</v>
      </c>
      <c r="J14" s="87"/>
      <c r="K14" s="87"/>
      <c r="L14" s="87" t="s">
        <v>1265</v>
      </c>
      <c r="M14" s="87"/>
      <c r="N14" s="87"/>
      <c r="O14" s="87"/>
      <c r="P14" s="23" t="s">
        <v>1266</v>
      </c>
      <c r="Q14" s="23" t="s">
        <v>71</v>
      </c>
      <c r="R14" s="23">
        <v>93.75</v>
      </c>
      <c r="S14" s="23">
        <v>93.75</v>
      </c>
      <c r="T14" s="23">
        <v>68.75</v>
      </c>
      <c r="U14" s="47">
        <f>73.33</f>
        <v>73.33</v>
      </c>
    </row>
    <row r="15" spans="1:22" ht="14.25" customHeight="1" thickTop="1" thickBot="1" x14ac:dyDescent="0.25">
      <c r="B15" s="4" t="s">
        <v>80</v>
      </c>
      <c r="C15" s="5"/>
      <c r="D15" s="5"/>
      <c r="E15" s="5"/>
      <c r="F15" s="5"/>
      <c r="G15" s="5"/>
      <c r="H15" s="6"/>
      <c r="I15" s="6"/>
      <c r="J15" s="6"/>
      <c r="K15" s="6"/>
      <c r="L15" s="6"/>
      <c r="M15" s="6"/>
      <c r="N15" s="6"/>
      <c r="O15" s="6"/>
      <c r="P15" s="6"/>
      <c r="Q15" s="6"/>
      <c r="R15" s="6"/>
      <c r="S15" s="6"/>
      <c r="T15" s="6"/>
      <c r="U15" s="7"/>
      <c r="V15" s="26"/>
    </row>
    <row r="16" spans="1:22" ht="26.25" customHeight="1" thickTop="1" x14ac:dyDescent="0.2">
      <c r="B16" s="27"/>
      <c r="C16" s="28"/>
      <c r="D16" s="28"/>
      <c r="E16" s="28"/>
      <c r="F16" s="28"/>
      <c r="G16" s="28"/>
      <c r="H16" s="29"/>
      <c r="I16" s="29"/>
      <c r="J16" s="29"/>
      <c r="K16" s="29"/>
      <c r="L16" s="29"/>
      <c r="M16" s="29"/>
      <c r="N16" s="29"/>
      <c r="O16" s="29"/>
      <c r="P16" s="29"/>
      <c r="Q16" s="29"/>
      <c r="R16" s="30"/>
      <c r="S16" s="31" t="s">
        <v>33</v>
      </c>
      <c r="T16" s="31" t="s">
        <v>81</v>
      </c>
      <c r="U16" s="18" t="s">
        <v>82</v>
      </c>
    </row>
    <row r="17" spans="2:21" ht="26.25" customHeight="1" thickBot="1" x14ac:dyDescent="0.25">
      <c r="B17" s="32"/>
      <c r="C17" s="33"/>
      <c r="D17" s="33"/>
      <c r="E17" s="33"/>
      <c r="F17" s="33"/>
      <c r="G17" s="33"/>
      <c r="H17" s="34"/>
      <c r="I17" s="34"/>
      <c r="J17" s="34"/>
      <c r="K17" s="34"/>
      <c r="L17" s="34"/>
      <c r="M17" s="34"/>
      <c r="N17" s="34"/>
      <c r="O17" s="34"/>
      <c r="P17" s="34"/>
      <c r="Q17" s="34"/>
      <c r="R17" s="34"/>
      <c r="S17" s="35" t="s">
        <v>83</v>
      </c>
      <c r="T17" s="36" t="s">
        <v>83</v>
      </c>
      <c r="U17" s="36" t="s">
        <v>84</v>
      </c>
    </row>
    <row r="18" spans="2:21" ht="13.5" customHeight="1" thickBot="1" x14ac:dyDescent="0.25">
      <c r="B18" s="92" t="s">
        <v>85</v>
      </c>
      <c r="C18" s="93"/>
      <c r="D18" s="93"/>
      <c r="E18" s="37"/>
      <c r="F18" s="37"/>
      <c r="G18" s="37"/>
      <c r="H18" s="38"/>
      <c r="I18" s="38"/>
      <c r="J18" s="38"/>
      <c r="K18" s="38"/>
      <c r="L18" s="38"/>
      <c r="M18" s="38"/>
      <c r="N18" s="38"/>
      <c r="O18" s="38"/>
      <c r="P18" s="39"/>
      <c r="Q18" s="39"/>
      <c r="R18" s="39"/>
      <c r="S18" s="48">
        <v>1000</v>
      </c>
      <c r="T18" s="48">
        <v>939.98924196000007</v>
      </c>
      <c r="U18" s="49">
        <f>+IF(ISERR(T18/S18*100),"N/A",ROUND(T18/S18*100,1))</f>
        <v>94</v>
      </c>
    </row>
    <row r="19" spans="2:21" ht="13.5" customHeight="1" thickBot="1" x14ac:dyDescent="0.25">
      <c r="B19" s="94" t="s">
        <v>86</v>
      </c>
      <c r="C19" s="95"/>
      <c r="D19" s="95"/>
      <c r="E19" s="40"/>
      <c r="F19" s="40"/>
      <c r="G19" s="40"/>
      <c r="H19" s="41"/>
      <c r="I19" s="41"/>
      <c r="J19" s="41"/>
      <c r="K19" s="41"/>
      <c r="L19" s="41"/>
      <c r="M19" s="41"/>
      <c r="N19" s="41"/>
      <c r="O19" s="41"/>
      <c r="P19" s="42"/>
      <c r="Q19" s="42"/>
      <c r="R19" s="42"/>
      <c r="S19" s="48">
        <v>939.9892419600003</v>
      </c>
      <c r="T19" s="48">
        <v>939.98924196000007</v>
      </c>
      <c r="U19" s="49">
        <f>+IF(ISERR(T19/S19*100),"N/A",ROUND(T19/S19*100,1))</f>
        <v>100</v>
      </c>
    </row>
    <row r="20" spans="2:21" ht="14.85" customHeight="1" thickTop="1" thickBot="1" x14ac:dyDescent="0.25">
      <c r="B20" s="4" t="s">
        <v>87</v>
      </c>
      <c r="C20" s="5"/>
      <c r="D20" s="5"/>
      <c r="E20" s="5"/>
      <c r="F20" s="5"/>
      <c r="G20" s="5"/>
      <c r="H20" s="6"/>
      <c r="I20" s="6"/>
      <c r="J20" s="6"/>
      <c r="K20" s="6"/>
      <c r="L20" s="6"/>
      <c r="M20" s="6"/>
      <c r="N20" s="6"/>
      <c r="O20" s="6"/>
      <c r="P20" s="6"/>
      <c r="Q20" s="6"/>
      <c r="R20" s="6"/>
      <c r="S20" s="6"/>
      <c r="T20" s="6"/>
      <c r="U20" s="7"/>
    </row>
    <row r="21" spans="2:21" ht="44.25" customHeight="1" thickTop="1" x14ac:dyDescent="0.2">
      <c r="B21" s="89" t="s">
        <v>88</v>
      </c>
      <c r="C21" s="90"/>
      <c r="D21" s="90"/>
      <c r="E21" s="90"/>
      <c r="F21" s="90"/>
      <c r="G21" s="90"/>
      <c r="H21" s="90"/>
      <c r="I21" s="90"/>
      <c r="J21" s="90"/>
      <c r="K21" s="90"/>
      <c r="L21" s="90"/>
      <c r="M21" s="90"/>
      <c r="N21" s="90"/>
      <c r="O21" s="90"/>
      <c r="P21" s="90"/>
      <c r="Q21" s="90"/>
      <c r="R21" s="90"/>
      <c r="S21" s="90"/>
      <c r="T21" s="90"/>
      <c r="U21" s="91"/>
    </row>
    <row r="22" spans="2:21" ht="42.75" customHeight="1" x14ac:dyDescent="0.2">
      <c r="B22" s="96" t="s">
        <v>1267</v>
      </c>
      <c r="C22" s="97"/>
      <c r="D22" s="97"/>
      <c r="E22" s="97"/>
      <c r="F22" s="97"/>
      <c r="G22" s="97"/>
      <c r="H22" s="97"/>
      <c r="I22" s="97"/>
      <c r="J22" s="97"/>
      <c r="K22" s="97"/>
      <c r="L22" s="97"/>
      <c r="M22" s="97"/>
      <c r="N22" s="97"/>
      <c r="O22" s="97"/>
      <c r="P22" s="97"/>
      <c r="Q22" s="97"/>
      <c r="R22" s="97"/>
      <c r="S22" s="97"/>
      <c r="T22" s="97"/>
      <c r="U22" s="98"/>
    </row>
    <row r="23" spans="2:21" ht="116.25" customHeight="1" x14ac:dyDescent="0.2">
      <c r="B23" s="96" t="s">
        <v>1268</v>
      </c>
      <c r="C23" s="97"/>
      <c r="D23" s="97"/>
      <c r="E23" s="97"/>
      <c r="F23" s="97"/>
      <c r="G23" s="97"/>
      <c r="H23" s="97"/>
      <c r="I23" s="97"/>
      <c r="J23" s="97"/>
      <c r="K23" s="97"/>
      <c r="L23" s="97"/>
      <c r="M23" s="97"/>
      <c r="N23" s="97"/>
      <c r="O23" s="97"/>
      <c r="P23" s="97"/>
      <c r="Q23" s="97"/>
      <c r="R23" s="97"/>
      <c r="S23" s="97"/>
      <c r="T23" s="97"/>
      <c r="U23" s="98"/>
    </row>
    <row r="24" spans="2:21" ht="54.75" customHeight="1" x14ac:dyDescent="0.2">
      <c r="B24" s="96" t="s">
        <v>1269</v>
      </c>
      <c r="C24" s="97"/>
      <c r="D24" s="97"/>
      <c r="E24" s="97"/>
      <c r="F24" s="97"/>
      <c r="G24" s="97"/>
      <c r="H24" s="97"/>
      <c r="I24" s="97"/>
      <c r="J24" s="97"/>
      <c r="K24" s="97"/>
      <c r="L24" s="97"/>
      <c r="M24" s="97"/>
      <c r="N24" s="97"/>
      <c r="O24" s="97"/>
      <c r="P24" s="97"/>
      <c r="Q24" s="97"/>
      <c r="R24" s="97"/>
      <c r="S24" s="97"/>
      <c r="T24" s="97"/>
      <c r="U24" s="98"/>
    </row>
    <row r="25" spans="2:21" ht="54.75" customHeight="1" thickBot="1" x14ac:dyDescent="0.25">
      <c r="B25" s="99" t="s">
        <v>1270</v>
      </c>
      <c r="C25" s="100"/>
      <c r="D25" s="100"/>
      <c r="E25" s="100"/>
      <c r="F25" s="100"/>
      <c r="G25" s="100"/>
      <c r="H25" s="100"/>
      <c r="I25" s="100"/>
      <c r="J25" s="100"/>
      <c r="K25" s="100"/>
      <c r="L25" s="100"/>
      <c r="M25" s="100"/>
      <c r="N25" s="100"/>
      <c r="O25" s="100"/>
      <c r="P25" s="100"/>
      <c r="Q25" s="100"/>
      <c r="R25" s="100"/>
      <c r="S25" s="100"/>
      <c r="T25" s="100"/>
      <c r="U25" s="101"/>
    </row>
  </sheetData>
  <mergeCells count="40">
    <mergeCell ref="B22:U22"/>
    <mergeCell ref="B23:U23"/>
    <mergeCell ref="B24:U24"/>
    <mergeCell ref="B25:U25"/>
    <mergeCell ref="C14:H14"/>
    <mergeCell ref="I14:K14"/>
    <mergeCell ref="L14:O14"/>
    <mergeCell ref="B18:D18"/>
    <mergeCell ref="B19:D19"/>
    <mergeCell ref="B21:U21"/>
    <mergeCell ref="C12:H12"/>
    <mergeCell ref="I12:K12"/>
    <mergeCell ref="L12:O12"/>
    <mergeCell ref="C13:H13"/>
    <mergeCell ref="I13:K13"/>
    <mergeCell ref="L13:O13"/>
    <mergeCell ref="C11:H11"/>
    <mergeCell ref="I11:K11"/>
    <mergeCell ref="L11:O11"/>
    <mergeCell ref="C6:G6"/>
    <mergeCell ref="K6:M6"/>
    <mergeCell ref="P6:Q6"/>
    <mergeCell ref="T6:U6"/>
    <mergeCell ref="B8:B10"/>
    <mergeCell ref="C8:H10"/>
    <mergeCell ref="I8:S8"/>
    <mergeCell ref="T8:U8"/>
    <mergeCell ref="I9:K10"/>
    <mergeCell ref="L9:O10"/>
    <mergeCell ref="P9:P10"/>
    <mergeCell ref="Q9:Q10"/>
    <mergeCell ref="R9:S9"/>
    <mergeCell ref="T9:T10"/>
    <mergeCell ref="U9:U10"/>
    <mergeCell ref="B5:U5"/>
    <mergeCell ref="B1:L1"/>
    <mergeCell ref="D4:H4"/>
    <mergeCell ref="L4:O4"/>
    <mergeCell ref="Q4:R4"/>
    <mergeCell ref="T4:U4"/>
  </mergeCells>
  <printOptions horizontalCentered="1"/>
  <pageMargins left="0.78740157480314965" right="0.78740157480314965" top="0.98425196850393704" bottom="0.98425196850393704" header="0" footer="0.39370078740157483"/>
  <pageSetup scale="60" fitToHeight="10" orientation="landscape" r:id="rId1"/>
  <headerFooter>
    <oddFooter>&amp;R&amp;P de &amp;N</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35"/>
  <sheetViews>
    <sheetView view="pageBreakPreview" topLeftCell="B16" zoomScale="80" zoomScaleNormal="80" zoomScaleSheetLayoutView="80" workbookViewId="0">
      <selection activeCell="R15" sqref="R15:U15"/>
    </sheetView>
  </sheetViews>
  <sheetFormatPr baseColWidth="10" defaultColWidth="10" defaultRowHeight="12.75" x14ac:dyDescent="0.2"/>
  <cols>
    <col min="1" max="1" width="3.5" style="1" customWidth="1"/>
    <col min="2" max="2" width="14.7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9.625" style="1" customWidth="1"/>
    <col min="19" max="19" width="13" style="1" customWidth="1"/>
    <col min="20" max="20" width="10.75" style="1" customWidth="1"/>
    <col min="21" max="21" width="11.37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50" t="s">
        <v>0</v>
      </c>
      <c r="C1" s="50"/>
      <c r="D1" s="50"/>
      <c r="E1" s="50"/>
      <c r="F1" s="50"/>
      <c r="G1" s="50"/>
      <c r="H1" s="50"/>
      <c r="I1" s="50"/>
      <c r="J1" s="50"/>
      <c r="K1" s="50"/>
      <c r="L1" s="50"/>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51.75" customHeight="1" thickTop="1" x14ac:dyDescent="0.2">
      <c r="B4" s="8" t="s">
        <v>6</v>
      </c>
      <c r="C4" s="9" t="s">
        <v>1271</v>
      </c>
      <c r="D4" s="57" t="s">
        <v>1272</v>
      </c>
      <c r="E4" s="57"/>
      <c r="F4" s="57"/>
      <c r="G4" s="57"/>
      <c r="H4" s="57"/>
      <c r="I4" s="10"/>
      <c r="J4" s="11" t="s">
        <v>9</v>
      </c>
      <c r="K4" s="12" t="s">
        <v>10</v>
      </c>
      <c r="L4" s="58" t="s">
        <v>11</v>
      </c>
      <c r="M4" s="58"/>
      <c r="N4" s="58"/>
      <c r="O4" s="58"/>
      <c r="P4" s="11" t="s">
        <v>12</v>
      </c>
      <c r="Q4" s="58" t="s">
        <v>1273</v>
      </c>
      <c r="R4" s="58"/>
      <c r="S4" s="11" t="s">
        <v>14</v>
      </c>
      <c r="T4" s="58" t="s">
        <v>465</v>
      </c>
      <c r="U4" s="59"/>
    </row>
    <row r="5" spans="1:21" ht="15.75" customHeight="1" x14ac:dyDescent="0.2">
      <c r="B5" s="54" t="s">
        <v>15</v>
      </c>
      <c r="C5" s="55"/>
      <c r="D5" s="55"/>
      <c r="E5" s="55"/>
      <c r="F5" s="55"/>
      <c r="G5" s="55"/>
      <c r="H5" s="55"/>
      <c r="I5" s="55"/>
      <c r="J5" s="55"/>
      <c r="K5" s="55"/>
      <c r="L5" s="55"/>
      <c r="M5" s="55"/>
      <c r="N5" s="55"/>
      <c r="O5" s="55"/>
      <c r="P5" s="55"/>
      <c r="Q5" s="55"/>
      <c r="R5" s="55"/>
      <c r="S5" s="55"/>
      <c r="T5" s="55"/>
      <c r="U5" s="56"/>
    </row>
    <row r="6" spans="1:21" ht="37.5" customHeight="1" thickBot="1" x14ac:dyDescent="0.25">
      <c r="B6" s="13" t="s">
        <v>16</v>
      </c>
      <c r="C6" s="60" t="s">
        <v>17</v>
      </c>
      <c r="D6" s="60"/>
      <c r="E6" s="60"/>
      <c r="F6" s="60"/>
      <c r="G6" s="60"/>
      <c r="H6" s="14"/>
      <c r="I6" s="14"/>
      <c r="J6" s="14" t="s">
        <v>18</v>
      </c>
      <c r="K6" s="60" t="s">
        <v>19</v>
      </c>
      <c r="L6" s="60"/>
      <c r="M6" s="60"/>
      <c r="N6" s="15"/>
      <c r="O6" s="16" t="s">
        <v>20</v>
      </c>
      <c r="P6" s="60" t="s">
        <v>524</v>
      </c>
      <c r="Q6" s="60"/>
      <c r="R6" s="17"/>
      <c r="S6" s="16" t="s">
        <v>22</v>
      </c>
      <c r="T6" s="60" t="s">
        <v>586</v>
      </c>
      <c r="U6" s="61"/>
    </row>
    <row r="7" spans="1:21" ht="14.25" customHeight="1" thickTop="1" thickBot="1" x14ac:dyDescent="0.25">
      <c r="B7" s="4" t="s">
        <v>24</v>
      </c>
      <c r="C7" s="5"/>
      <c r="D7" s="5"/>
      <c r="E7" s="5"/>
      <c r="F7" s="5"/>
      <c r="G7" s="5"/>
      <c r="H7" s="6"/>
      <c r="I7" s="6"/>
      <c r="J7" s="6"/>
      <c r="K7" s="6"/>
      <c r="L7" s="6"/>
      <c r="M7" s="6"/>
      <c r="N7" s="6"/>
      <c r="O7" s="6"/>
      <c r="P7" s="6"/>
      <c r="Q7" s="6"/>
      <c r="R7" s="6"/>
      <c r="S7" s="6"/>
      <c r="T7" s="6"/>
      <c r="U7" s="7"/>
    </row>
    <row r="8" spans="1:21" ht="16.5" customHeight="1" thickTop="1" x14ac:dyDescent="0.2">
      <c r="B8" s="62" t="s">
        <v>25</v>
      </c>
      <c r="C8" s="65" t="s">
        <v>26</v>
      </c>
      <c r="D8" s="66"/>
      <c r="E8" s="66"/>
      <c r="F8" s="66"/>
      <c r="G8" s="66"/>
      <c r="H8" s="67"/>
      <c r="I8" s="74" t="s">
        <v>27</v>
      </c>
      <c r="J8" s="75"/>
      <c r="K8" s="75"/>
      <c r="L8" s="75"/>
      <c r="M8" s="75"/>
      <c r="N8" s="75"/>
      <c r="O8" s="75"/>
      <c r="P8" s="75"/>
      <c r="Q8" s="75"/>
      <c r="R8" s="75"/>
      <c r="S8" s="76"/>
      <c r="T8" s="77" t="s">
        <v>28</v>
      </c>
      <c r="U8" s="78"/>
    </row>
    <row r="9" spans="1:21" ht="19.5" customHeight="1" x14ac:dyDescent="0.2">
      <c r="B9" s="63"/>
      <c r="C9" s="68"/>
      <c r="D9" s="69"/>
      <c r="E9" s="69"/>
      <c r="F9" s="69"/>
      <c r="G9" s="69"/>
      <c r="H9" s="70"/>
      <c r="I9" s="79" t="s">
        <v>29</v>
      </c>
      <c r="J9" s="80"/>
      <c r="K9" s="80"/>
      <c r="L9" s="80" t="s">
        <v>30</v>
      </c>
      <c r="M9" s="80"/>
      <c r="N9" s="80"/>
      <c r="O9" s="80"/>
      <c r="P9" s="80" t="s">
        <v>31</v>
      </c>
      <c r="Q9" s="80" t="s">
        <v>32</v>
      </c>
      <c r="R9" s="83" t="s">
        <v>33</v>
      </c>
      <c r="S9" s="84"/>
      <c r="T9" s="80" t="s">
        <v>34</v>
      </c>
      <c r="U9" s="85" t="s">
        <v>35</v>
      </c>
    </row>
    <row r="10" spans="1:21" ht="26.25" customHeight="1" thickBot="1" x14ac:dyDescent="0.25">
      <c r="B10" s="64"/>
      <c r="C10" s="71"/>
      <c r="D10" s="72"/>
      <c r="E10" s="72"/>
      <c r="F10" s="72"/>
      <c r="G10" s="72"/>
      <c r="H10" s="73"/>
      <c r="I10" s="81"/>
      <c r="J10" s="82"/>
      <c r="K10" s="82"/>
      <c r="L10" s="82"/>
      <c r="M10" s="82"/>
      <c r="N10" s="82"/>
      <c r="O10" s="82"/>
      <c r="P10" s="82"/>
      <c r="Q10" s="82"/>
      <c r="R10" s="19" t="s">
        <v>36</v>
      </c>
      <c r="S10" s="20" t="s">
        <v>37</v>
      </c>
      <c r="T10" s="82"/>
      <c r="U10" s="86"/>
    </row>
    <row r="11" spans="1:21" ht="98.25" customHeight="1" thickTop="1" thickBot="1" x14ac:dyDescent="0.25">
      <c r="A11" s="21"/>
      <c r="B11" s="22" t="s">
        <v>38</v>
      </c>
      <c r="C11" s="87" t="s">
        <v>1274</v>
      </c>
      <c r="D11" s="87"/>
      <c r="E11" s="87"/>
      <c r="F11" s="87"/>
      <c r="G11" s="87"/>
      <c r="H11" s="87"/>
      <c r="I11" s="87" t="s">
        <v>1275</v>
      </c>
      <c r="J11" s="87"/>
      <c r="K11" s="87"/>
      <c r="L11" s="87" t="s">
        <v>1276</v>
      </c>
      <c r="M11" s="87"/>
      <c r="N11" s="87"/>
      <c r="O11" s="87"/>
      <c r="P11" s="23" t="s">
        <v>48</v>
      </c>
      <c r="Q11" s="23" t="s">
        <v>43</v>
      </c>
      <c r="R11" s="23">
        <v>15.99</v>
      </c>
      <c r="S11" s="23">
        <v>20.62</v>
      </c>
      <c r="T11" s="23">
        <v>25.22</v>
      </c>
      <c r="U11" s="45">
        <f>122.31</f>
        <v>122.31</v>
      </c>
    </row>
    <row r="12" spans="1:21" ht="75" customHeight="1" thickTop="1" thickBot="1" x14ac:dyDescent="0.25">
      <c r="A12" s="21"/>
      <c r="B12" s="22" t="s">
        <v>44</v>
      </c>
      <c r="C12" s="87" t="s">
        <v>1277</v>
      </c>
      <c r="D12" s="87"/>
      <c r="E12" s="87"/>
      <c r="F12" s="87"/>
      <c r="G12" s="87"/>
      <c r="H12" s="87"/>
      <c r="I12" s="87" t="s">
        <v>1278</v>
      </c>
      <c r="J12" s="87"/>
      <c r="K12" s="87"/>
      <c r="L12" s="87" t="s">
        <v>1279</v>
      </c>
      <c r="M12" s="87"/>
      <c r="N12" s="87"/>
      <c r="O12" s="87"/>
      <c r="P12" s="23" t="s">
        <v>48</v>
      </c>
      <c r="Q12" s="23" t="s">
        <v>43</v>
      </c>
      <c r="R12" s="23">
        <v>80.849999999999994</v>
      </c>
      <c r="S12" s="23">
        <v>86.31</v>
      </c>
      <c r="T12" s="23">
        <v>78.69</v>
      </c>
      <c r="U12" s="45">
        <v>102.9</v>
      </c>
    </row>
    <row r="13" spans="1:21" ht="75" customHeight="1" thickTop="1" x14ac:dyDescent="0.2">
      <c r="A13" s="21"/>
      <c r="B13" s="22" t="s">
        <v>50</v>
      </c>
      <c r="C13" s="87" t="s">
        <v>1280</v>
      </c>
      <c r="D13" s="87"/>
      <c r="E13" s="87"/>
      <c r="F13" s="87"/>
      <c r="G13" s="87"/>
      <c r="H13" s="87"/>
      <c r="I13" s="87" t="s">
        <v>1281</v>
      </c>
      <c r="J13" s="87"/>
      <c r="K13" s="87"/>
      <c r="L13" s="87" t="s">
        <v>1282</v>
      </c>
      <c r="M13" s="87"/>
      <c r="N13" s="87"/>
      <c r="O13" s="87"/>
      <c r="P13" s="23" t="s">
        <v>48</v>
      </c>
      <c r="Q13" s="23" t="s">
        <v>49</v>
      </c>
      <c r="R13" s="23">
        <v>5.7</v>
      </c>
      <c r="S13" s="23">
        <v>5.7</v>
      </c>
      <c r="T13" s="23">
        <v>6.26</v>
      </c>
      <c r="U13" s="45">
        <f>109.82</f>
        <v>109.82</v>
      </c>
    </row>
    <row r="14" spans="1:21" ht="75" customHeight="1" x14ac:dyDescent="0.2">
      <c r="A14" s="21"/>
      <c r="B14" s="24" t="s">
        <v>55</v>
      </c>
      <c r="C14" s="88" t="s">
        <v>1283</v>
      </c>
      <c r="D14" s="88"/>
      <c r="E14" s="88"/>
      <c r="F14" s="88"/>
      <c r="G14" s="88"/>
      <c r="H14" s="88"/>
      <c r="I14" s="88" t="s">
        <v>1284</v>
      </c>
      <c r="J14" s="88"/>
      <c r="K14" s="88"/>
      <c r="L14" s="88" t="s">
        <v>1285</v>
      </c>
      <c r="M14" s="88"/>
      <c r="N14" s="88"/>
      <c r="O14" s="88"/>
      <c r="P14" s="25" t="s">
        <v>48</v>
      </c>
      <c r="Q14" s="25" t="s">
        <v>49</v>
      </c>
      <c r="R14" s="25">
        <v>16.89</v>
      </c>
      <c r="S14" s="25">
        <v>16.89</v>
      </c>
      <c r="T14" s="25">
        <v>19.559999999999999</v>
      </c>
      <c r="U14" s="46">
        <f>115.8</f>
        <v>115.8</v>
      </c>
    </row>
    <row r="15" spans="1:21" ht="75" customHeight="1" x14ac:dyDescent="0.2">
      <c r="A15" s="21"/>
      <c r="B15" s="24" t="s">
        <v>55</v>
      </c>
      <c r="C15" s="88" t="s">
        <v>1286</v>
      </c>
      <c r="D15" s="88"/>
      <c r="E15" s="88"/>
      <c r="F15" s="88"/>
      <c r="G15" s="88"/>
      <c r="H15" s="88"/>
      <c r="I15" s="88" t="s">
        <v>1287</v>
      </c>
      <c r="J15" s="88"/>
      <c r="K15" s="88"/>
      <c r="L15" s="88" t="s">
        <v>1288</v>
      </c>
      <c r="M15" s="88"/>
      <c r="N15" s="88"/>
      <c r="O15" s="88"/>
      <c r="P15" s="25" t="s">
        <v>48</v>
      </c>
      <c r="Q15" s="25" t="s">
        <v>49</v>
      </c>
      <c r="R15" s="25">
        <v>11.97</v>
      </c>
      <c r="S15" s="25">
        <v>11.97</v>
      </c>
      <c r="T15" s="25">
        <v>16.13</v>
      </c>
      <c r="U15" s="46">
        <f>134.75</f>
        <v>134.75</v>
      </c>
    </row>
    <row r="16" spans="1:21" ht="75" customHeight="1" thickBot="1" x14ac:dyDescent="0.25">
      <c r="A16" s="21"/>
      <c r="B16" s="24" t="s">
        <v>55</v>
      </c>
      <c r="C16" s="88" t="s">
        <v>1289</v>
      </c>
      <c r="D16" s="88"/>
      <c r="E16" s="88"/>
      <c r="F16" s="88"/>
      <c r="G16" s="88"/>
      <c r="H16" s="88"/>
      <c r="I16" s="88" t="s">
        <v>1290</v>
      </c>
      <c r="J16" s="88"/>
      <c r="K16" s="88"/>
      <c r="L16" s="88" t="s">
        <v>1291</v>
      </c>
      <c r="M16" s="88"/>
      <c r="N16" s="88"/>
      <c r="O16" s="88"/>
      <c r="P16" s="25" t="s">
        <v>48</v>
      </c>
      <c r="Q16" s="25" t="s">
        <v>49</v>
      </c>
      <c r="R16" s="25">
        <v>96.92</v>
      </c>
      <c r="S16" s="25">
        <v>96.92</v>
      </c>
      <c r="T16" s="25">
        <v>97.93</v>
      </c>
      <c r="U16" s="46">
        <f>101.04</f>
        <v>101.04</v>
      </c>
    </row>
    <row r="17" spans="1:22" ht="75" customHeight="1" thickTop="1" x14ac:dyDescent="0.2">
      <c r="A17" s="21"/>
      <c r="B17" s="22" t="s">
        <v>61</v>
      </c>
      <c r="C17" s="87" t="s">
        <v>1292</v>
      </c>
      <c r="D17" s="87"/>
      <c r="E17" s="87"/>
      <c r="F17" s="87"/>
      <c r="G17" s="87"/>
      <c r="H17" s="87"/>
      <c r="I17" s="87" t="s">
        <v>1293</v>
      </c>
      <c r="J17" s="87"/>
      <c r="K17" s="87"/>
      <c r="L17" s="87" t="s">
        <v>1294</v>
      </c>
      <c r="M17" s="87"/>
      <c r="N17" s="87"/>
      <c r="O17" s="87"/>
      <c r="P17" s="23" t="s">
        <v>48</v>
      </c>
      <c r="Q17" s="23" t="s">
        <v>66</v>
      </c>
      <c r="R17" s="23">
        <v>79.459999999999994</v>
      </c>
      <c r="S17" s="23">
        <v>79.37</v>
      </c>
      <c r="T17" s="23">
        <v>83.71</v>
      </c>
      <c r="U17" s="45">
        <f>105.46</f>
        <v>105.46</v>
      </c>
    </row>
    <row r="18" spans="1:22" ht="75" customHeight="1" x14ac:dyDescent="0.2">
      <c r="A18" s="21"/>
      <c r="B18" s="24" t="s">
        <v>55</v>
      </c>
      <c r="C18" s="88" t="s">
        <v>1295</v>
      </c>
      <c r="D18" s="88"/>
      <c r="E18" s="88"/>
      <c r="F18" s="88"/>
      <c r="G18" s="88"/>
      <c r="H18" s="88"/>
      <c r="I18" s="88" t="s">
        <v>1296</v>
      </c>
      <c r="J18" s="88"/>
      <c r="K18" s="88"/>
      <c r="L18" s="88" t="s">
        <v>1294</v>
      </c>
      <c r="M18" s="88"/>
      <c r="N18" s="88"/>
      <c r="O18" s="88"/>
      <c r="P18" s="25" t="s">
        <v>48</v>
      </c>
      <c r="Q18" s="25" t="s">
        <v>66</v>
      </c>
      <c r="R18" s="25">
        <v>69.47</v>
      </c>
      <c r="S18" s="25">
        <v>71.53</v>
      </c>
      <c r="T18" s="25">
        <v>100.21</v>
      </c>
      <c r="U18" s="46">
        <f>140.09</f>
        <v>140.09</v>
      </c>
    </row>
    <row r="19" spans="1:22" ht="75" customHeight="1" thickBot="1" x14ac:dyDescent="0.25">
      <c r="A19" s="21"/>
      <c r="B19" s="24" t="s">
        <v>55</v>
      </c>
      <c r="C19" s="88" t="s">
        <v>1297</v>
      </c>
      <c r="D19" s="88"/>
      <c r="E19" s="88"/>
      <c r="F19" s="88"/>
      <c r="G19" s="88"/>
      <c r="H19" s="88"/>
      <c r="I19" s="88" t="s">
        <v>1298</v>
      </c>
      <c r="J19" s="88"/>
      <c r="K19" s="88"/>
      <c r="L19" s="88" t="s">
        <v>1294</v>
      </c>
      <c r="M19" s="88"/>
      <c r="N19" s="88"/>
      <c r="O19" s="88"/>
      <c r="P19" s="25" t="s">
        <v>48</v>
      </c>
      <c r="Q19" s="25" t="s">
        <v>66</v>
      </c>
      <c r="R19" s="25">
        <v>98.14</v>
      </c>
      <c r="S19" s="25">
        <v>98.57</v>
      </c>
      <c r="T19" s="25">
        <v>72.819999999999993</v>
      </c>
      <c r="U19" s="46">
        <f>73.87</f>
        <v>73.87</v>
      </c>
    </row>
    <row r="20" spans="1:22" ht="14.25" customHeight="1" thickTop="1" thickBot="1" x14ac:dyDescent="0.25">
      <c r="B20" s="4" t="s">
        <v>80</v>
      </c>
      <c r="C20" s="5"/>
      <c r="D20" s="5"/>
      <c r="E20" s="5"/>
      <c r="F20" s="5"/>
      <c r="G20" s="5"/>
      <c r="H20" s="6"/>
      <c r="I20" s="6"/>
      <c r="J20" s="6"/>
      <c r="K20" s="6"/>
      <c r="L20" s="6"/>
      <c r="M20" s="6"/>
      <c r="N20" s="6"/>
      <c r="O20" s="6"/>
      <c r="P20" s="6"/>
      <c r="Q20" s="6"/>
      <c r="R20" s="6"/>
      <c r="S20" s="6"/>
      <c r="T20" s="6"/>
      <c r="U20" s="7"/>
      <c r="V20" s="26"/>
    </row>
    <row r="21" spans="1:22" ht="26.25" customHeight="1" thickTop="1" x14ac:dyDescent="0.2">
      <c r="B21" s="27"/>
      <c r="C21" s="28"/>
      <c r="D21" s="28"/>
      <c r="E21" s="28"/>
      <c r="F21" s="28"/>
      <c r="G21" s="28"/>
      <c r="H21" s="29"/>
      <c r="I21" s="29"/>
      <c r="J21" s="29"/>
      <c r="K21" s="29"/>
      <c r="L21" s="29"/>
      <c r="M21" s="29"/>
      <c r="N21" s="29"/>
      <c r="O21" s="29"/>
      <c r="P21" s="29"/>
      <c r="Q21" s="29"/>
      <c r="R21" s="30"/>
      <c r="S21" s="31" t="s">
        <v>33</v>
      </c>
      <c r="T21" s="31" t="s">
        <v>81</v>
      </c>
      <c r="U21" s="18" t="s">
        <v>82</v>
      </c>
    </row>
    <row r="22" spans="1:22" ht="26.25" customHeight="1" thickBot="1" x14ac:dyDescent="0.25">
      <c r="B22" s="32"/>
      <c r="C22" s="33"/>
      <c r="D22" s="33"/>
      <c r="E22" s="33"/>
      <c r="F22" s="33"/>
      <c r="G22" s="33"/>
      <c r="H22" s="34"/>
      <c r="I22" s="34"/>
      <c r="J22" s="34"/>
      <c r="K22" s="34"/>
      <c r="L22" s="34"/>
      <c r="M22" s="34"/>
      <c r="N22" s="34"/>
      <c r="O22" s="34"/>
      <c r="P22" s="34"/>
      <c r="Q22" s="34"/>
      <c r="R22" s="34"/>
      <c r="S22" s="35" t="s">
        <v>83</v>
      </c>
      <c r="T22" s="36" t="s">
        <v>83</v>
      </c>
      <c r="U22" s="36" t="s">
        <v>84</v>
      </c>
    </row>
    <row r="23" spans="1:22" ht="13.5" customHeight="1" thickBot="1" x14ac:dyDescent="0.25">
      <c r="B23" s="92" t="s">
        <v>85</v>
      </c>
      <c r="C23" s="93"/>
      <c r="D23" s="93"/>
      <c r="E23" s="37"/>
      <c r="F23" s="37"/>
      <c r="G23" s="37"/>
      <c r="H23" s="38"/>
      <c r="I23" s="38"/>
      <c r="J23" s="38"/>
      <c r="K23" s="38"/>
      <c r="L23" s="38"/>
      <c r="M23" s="38"/>
      <c r="N23" s="38"/>
      <c r="O23" s="38"/>
      <c r="P23" s="39"/>
      <c r="Q23" s="39"/>
      <c r="R23" s="39"/>
      <c r="S23" s="48">
        <v>6784.4274889999997</v>
      </c>
      <c r="T23" s="48">
        <v>5863.6063676900003</v>
      </c>
      <c r="U23" s="49">
        <f>+IF(ISERR(T23/S23*100),"N/A",ROUND(T23/S23*100,1))</f>
        <v>86.4</v>
      </c>
    </row>
    <row r="24" spans="1:22" ht="13.5" customHeight="1" thickBot="1" x14ac:dyDescent="0.25">
      <c r="B24" s="94" t="s">
        <v>86</v>
      </c>
      <c r="C24" s="95"/>
      <c r="D24" s="95"/>
      <c r="E24" s="40"/>
      <c r="F24" s="40"/>
      <c r="G24" s="40"/>
      <c r="H24" s="41"/>
      <c r="I24" s="41"/>
      <c r="J24" s="41"/>
      <c r="K24" s="41"/>
      <c r="L24" s="41"/>
      <c r="M24" s="41"/>
      <c r="N24" s="41"/>
      <c r="O24" s="41"/>
      <c r="P24" s="42"/>
      <c r="Q24" s="42"/>
      <c r="R24" s="42"/>
      <c r="S24" s="48">
        <v>5863.6063676900012</v>
      </c>
      <c r="T24" s="48">
        <v>5863.6063676900003</v>
      </c>
      <c r="U24" s="49">
        <f>+IF(ISERR(T24/S24*100),"N/A",ROUND(T24/S24*100,1))</f>
        <v>100</v>
      </c>
    </row>
    <row r="25" spans="1:22" ht="14.85" customHeight="1" thickTop="1" thickBot="1" x14ac:dyDescent="0.25">
      <c r="B25" s="4" t="s">
        <v>87</v>
      </c>
      <c r="C25" s="5"/>
      <c r="D25" s="5"/>
      <c r="E25" s="5"/>
      <c r="F25" s="5"/>
      <c r="G25" s="5"/>
      <c r="H25" s="6"/>
      <c r="I25" s="6"/>
      <c r="J25" s="6"/>
      <c r="K25" s="6"/>
      <c r="L25" s="6"/>
      <c r="M25" s="6"/>
      <c r="N25" s="6"/>
      <c r="O25" s="6"/>
      <c r="P25" s="6"/>
      <c r="Q25" s="6"/>
      <c r="R25" s="6"/>
      <c r="S25" s="6"/>
      <c r="T25" s="6"/>
      <c r="U25" s="7"/>
    </row>
    <row r="26" spans="1:22" ht="44.25" customHeight="1" thickTop="1" x14ac:dyDescent="0.2">
      <c r="B26" s="89" t="s">
        <v>88</v>
      </c>
      <c r="C26" s="90"/>
      <c r="D26" s="90"/>
      <c r="E26" s="90"/>
      <c r="F26" s="90"/>
      <c r="G26" s="90"/>
      <c r="H26" s="90"/>
      <c r="I26" s="90"/>
      <c r="J26" s="90"/>
      <c r="K26" s="90"/>
      <c r="L26" s="90"/>
      <c r="M26" s="90"/>
      <c r="N26" s="90"/>
      <c r="O26" s="90"/>
      <c r="P26" s="90"/>
      <c r="Q26" s="90"/>
      <c r="R26" s="90"/>
      <c r="S26" s="90"/>
      <c r="T26" s="90"/>
      <c r="U26" s="91"/>
    </row>
    <row r="27" spans="1:22" ht="259.5" customHeight="1" x14ac:dyDescent="0.2">
      <c r="B27" s="96" t="s">
        <v>1299</v>
      </c>
      <c r="C27" s="97"/>
      <c r="D27" s="97"/>
      <c r="E27" s="97"/>
      <c r="F27" s="97"/>
      <c r="G27" s="97"/>
      <c r="H27" s="97"/>
      <c r="I27" s="97"/>
      <c r="J27" s="97"/>
      <c r="K27" s="97"/>
      <c r="L27" s="97"/>
      <c r="M27" s="97"/>
      <c r="N27" s="97"/>
      <c r="O27" s="97"/>
      <c r="P27" s="97"/>
      <c r="Q27" s="97"/>
      <c r="R27" s="97"/>
      <c r="S27" s="97"/>
      <c r="T27" s="97"/>
      <c r="U27" s="98"/>
    </row>
    <row r="28" spans="1:22" ht="281.25" customHeight="1" x14ac:dyDescent="0.2">
      <c r="B28" s="96" t="s">
        <v>1300</v>
      </c>
      <c r="C28" s="97"/>
      <c r="D28" s="97"/>
      <c r="E28" s="97"/>
      <c r="F28" s="97"/>
      <c r="G28" s="97"/>
      <c r="H28" s="97"/>
      <c r="I28" s="97"/>
      <c r="J28" s="97"/>
      <c r="K28" s="97"/>
      <c r="L28" s="97"/>
      <c r="M28" s="97"/>
      <c r="N28" s="97"/>
      <c r="O28" s="97"/>
      <c r="P28" s="97"/>
      <c r="Q28" s="97"/>
      <c r="R28" s="97"/>
      <c r="S28" s="97"/>
      <c r="T28" s="97"/>
      <c r="U28" s="98"/>
    </row>
    <row r="29" spans="1:22" ht="291" customHeight="1" x14ac:dyDescent="0.2">
      <c r="B29" s="96" t="s">
        <v>1301</v>
      </c>
      <c r="C29" s="97"/>
      <c r="D29" s="97"/>
      <c r="E29" s="97"/>
      <c r="F29" s="97"/>
      <c r="G29" s="97"/>
      <c r="H29" s="97"/>
      <c r="I29" s="97"/>
      <c r="J29" s="97"/>
      <c r="K29" s="97"/>
      <c r="L29" s="97"/>
      <c r="M29" s="97"/>
      <c r="N29" s="97"/>
      <c r="O29" s="97"/>
      <c r="P29" s="97"/>
      <c r="Q29" s="97"/>
      <c r="R29" s="97"/>
      <c r="S29" s="97"/>
      <c r="T29" s="97"/>
      <c r="U29" s="98"/>
    </row>
    <row r="30" spans="1:22" ht="291.75" customHeight="1" x14ac:dyDescent="0.2">
      <c r="B30" s="96" t="s">
        <v>1302</v>
      </c>
      <c r="C30" s="97"/>
      <c r="D30" s="97"/>
      <c r="E30" s="97"/>
      <c r="F30" s="97"/>
      <c r="G30" s="97"/>
      <c r="H30" s="97"/>
      <c r="I30" s="97"/>
      <c r="J30" s="97"/>
      <c r="K30" s="97"/>
      <c r="L30" s="97"/>
      <c r="M30" s="97"/>
      <c r="N30" s="97"/>
      <c r="O30" s="97"/>
      <c r="P30" s="97"/>
      <c r="Q30" s="97"/>
      <c r="R30" s="97"/>
      <c r="S30" s="97"/>
      <c r="T30" s="97"/>
      <c r="U30" s="98"/>
    </row>
    <row r="31" spans="1:22" ht="286.5" customHeight="1" x14ac:dyDescent="0.2">
      <c r="B31" s="96" t="s">
        <v>1303</v>
      </c>
      <c r="C31" s="97"/>
      <c r="D31" s="97"/>
      <c r="E31" s="97"/>
      <c r="F31" s="97"/>
      <c r="G31" s="97"/>
      <c r="H31" s="97"/>
      <c r="I31" s="97"/>
      <c r="J31" s="97"/>
      <c r="K31" s="97"/>
      <c r="L31" s="97"/>
      <c r="M31" s="97"/>
      <c r="N31" s="97"/>
      <c r="O31" s="97"/>
      <c r="P31" s="97"/>
      <c r="Q31" s="97"/>
      <c r="R31" s="97"/>
      <c r="S31" s="97"/>
      <c r="T31" s="97"/>
      <c r="U31" s="98"/>
    </row>
    <row r="32" spans="1:22" ht="180.75" customHeight="1" x14ac:dyDescent="0.2">
      <c r="B32" s="96" t="s">
        <v>1304</v>
      </c>
      <c r="C32" s="97"/>
      <c r="D32" s="97"/>
      <c r="E32" s="97"/>
      <c r="F32" s="97"/>
      <c r="G32" s="97"/>
      <c r="H32" s="97"/>
      <c r="I32" s="97"/>
      <c r="J32" s="97"/>
      <c r="K32" s="97"/>
      <c r="L32" s="97"/>
      <c r="M32" s="97"/>
      <c r="N32" s="97"/>
      <c r="O32" s="97"/>
      <c r="P32" s="97"/>
      <c r="Q32" s="97"/>
      <c r="R32" s="97"/>
      <c r="S32" s="97"/>
      <c r="T32" s="97"/>
      <c r="U32" s="98"/>
    </row>
    <row r="33" spans="2:21" ht="210" customHeight="1" x14ac:dyDescent="0.2">
      <c r="B33" s="96" t="s">
        <v>1305</v>
      </c>
      <c r="C33" s="97"/>
      <c r="D33" s="97"/>
      <c r="E33" s="97"/>
      <c r="F33" s="97"/>
      <c r="G33" s="97"/>
      <c r="H33" s="97"/>
      <c r="I33" s="97"/>
      <c r="J33" s="97"/>
      <c r="K33" s="97"/>
      <c r="L33" s="97"/>
      <c r="M33" s="97"/>
      <c r="N33" s="97"/>
      <c r="O33" s="97"/>
      <c r="P33" s="97"/>
      <c r="Q33" s="97"/>
      <c r="R33" s="97"/>
      <c r="S33" s="97"/>
      <c r="T33" s="97"/>
      <c r="U33" s="98"/>
    </row>
    <row r="34" spans="2:21" ht="195.75" customHeight="1" x14ac:dyDescent="0.2">
      <c r="B34" s="96" t="s">
        <v>1306</v>
      </c>
      <c r="C34" s="97"/>
      <c r="D34" s="97"/>
      <c r="E34" s="97"/>
      <c r="F34" s="97"/>
      <c r="G34" s="97"/>
      <c r="H34" s="97"/>
      <c r="I34" s="97"/>
      <c r="J34" s="97"/>
      <c r="K34" s="97"/>
      <c r="L34" s="97"/>
      <c r="M34" s="97"/>
      <c r="N34" s="97"/>
      <c r="O34" s="97"/>
      <c r="P34" s="97"/>
      <c r="Q34" s="97"/>
      <c r="R34" s="97"/>
      <c r="S34" s="97"/>
      <c r="T34" s="97"/>
      <c r="U34" s="98"/>
    </row>
    <row r="35" spans="2:21" ht="131.25" customHeight="1" thickBot="1" x14ac:dyDescent="0.25">
      <c r="B35" s="99" t="s">
        <v>1307</v>
      </c>
      <c r="C35" s="100"/>
      <c r="D35" s="100"/>
      <c r="E35" s="100"/>
      <c r="F35" s="100"/>
      <c r="G35" s="100"/>
      <c r="H35" s="100"/>
      <c r="I35" s="100"/>
      <c r="J35" s="100"/>
      <c r="K35" s="100"/>
      <c r="L35" s="100"/>
      <c r="M35" s="100"/>
      <c r="N35" s="100"/>
      <c r="O35" s="100"/>
      <c r="P35" s="100"/>
      <c r="Q35" s="100"/>
      <c r="R35" s="100"/>
      <c r="S35" s="100"/>
      <c r="T35" s="100"/>
      <c r="U35" s="101"/>
    </row>
  </sheetData>
  <mergeCells count="60">
    <mergeCell ref="B35:U35"/>
    <mergeCell ref="B23:D23"/>
    <mergeCell ref="B24:D24"/>
    <mergeCell ref="B26:U26"/>
    <mergeCell ref="B27:U27"/>
    <mergeCell ref="B28:U28"/>
    <mergeCell ref="B29:U29"/>
    <mergeCell ref="B30:U30"/>
    <mergeCell ref="B31:U31"/>
    <mergeCell ref="B32:U32"/>
    <mergeCell ref="B33:U33"/>
    <mergeCell ref="B34:U34"/>
    <mergeCell ref="C18:H18"/>
    <mergeCell ref="I18:K18"/>
    <mergeCell ref="L18:O18"/>
    <mergeCell ref="C19:H19"/>
    <mergeCell ref="I19:K19"/>
    <mergeCell ref="L19:O19"/>
    <mergeCell ref="C16:H16"/>
    <mergeCell ref="I16:K16"/>
    <mergeCell ref="L16:O16"/>
    <mergeCell ref="C17:H17"/>
    <mergeCell ref="I17:K17"/>
    <mergeCell ref="L17:O17"/>
    <mergeCell ref="C14:H14"/>
    <mergeCell ref="I14:K14"/>
    <mergeCell ref="L14:O14"/>
    <mergeCell ref="C15:H15"/>
    <mergeCell ref="I15:K15"/>
    <mergeCell ref="L15:O15"/>
    <mergeCell ref="C12:H12"/>
    <mergeCell ref="I12:K12"/>
    <mergeCell ref="L12:O12"/>
    <mergeCell ref="C13:H13"/>
    <mergeCell ref="I13:K13"/>
    <mergeCell ref="L13:O13"/>
    <mergeCell ref="C11:H11"/>
    <mergeCell ref="I11:K11"/>
    <mergeCell ref="L11:O11"/>
    <mergeCell ref="C6:G6"/>
    <mergeCell ref="K6:M6"/>
    <mergeCell ref="P6:Q6"/>
    <mergeCell ref="T6:U6"/>
    <mergeCell ref="B8:B10"/>
    <mergeCell ref="C8:H10"/>
    <mergeCell ref="I8:S8"/>
    <mergeCell ref="T8:U8"/>
    <mergeCell ref="I9:K10"/>
    <mergeCell ref="L9:O10"/>
    <mergeCell ref="P9:P10"/>
    <mergeCell ref="Q9:Q10"/>
    <mergeCell ref="R9:S9"/>
    <mergeCell ref="T9:T10"/>
    <mergeCell ref="U9:U10"/>
    <mergeCell ref="B5:U5"/>
    <mergeCell ref="B1:L1"/>
    <mergeCell ref="D4:H4"/>
    <mergeCell ref="L4:O4"/>
    <mergeCell ref="Q4:R4"/>
    <mergeCell ref="T4:U4"/>
  </mergeCells>
  <printOptions horizontalCentered="1"/>
  <pageMargins left="0.78740157480314965" right="0.78740157480314965" top="0.98425196850393704" bottom="0.98425196850393704" header="0" footer="0.39370078740157483"/>
  <pageSetup scale="60" fitToHeight="10" orientation="landscape" r:id="rId1"/>
  <headerFooter>
    <oddFooter>&amp;R&amp;P de &amp;N</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25"/>
  <sheetViews>
    <sheetView view="pageBreakPreview" topLeftCell="D4" zoomScale="80" zoomScaleNormal="80" zoomScaleSheetLayoutView="80" workbookViewId="0">
      <selection activeCell="U12" sqref="T12:U12"/>
    </sheetView>
  </sheetViews>
  <sheetFormatPr baseColWidth="10" defaultColWidth="10" defaultRowHeight="12.75" x14ac:dyDescent="0.2"/>
  <cols>
    <col min="1" max="1" width="3.5" style="1" customWidth="1"/>
    <col min="2" max="2" width="14.7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9.625" style="1" customWidth="1"/>
    <col min="19" max="19" width="13" style="1" customWidth="1"/>
    <col min="20" max="20" width="10.75" style="1" customWidth="1"/>
    <col min="21" max="21" width="11.37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2" s="2" customFormat="1" ht="48" customHeight="1" x14ac:dyDescent="0.2">
      <c r="B1" s="50" t="s">
        <v>0</v>
      </c>
      <c r="C1" s="50"/>
      <c r="D1" s="50"/>
      <c r="E1" s="50"/>
      <c r="F1" s="50"/>
      <c r="G1" s="50"/>
      <c r="H1" s="50"/>
      <c r="I1" s="50"/>
      <c r="J1" s="50"/>
      <c r="K1" s="50"/>
      <c r="L1" s="50"/>
      <c r="M1" s="3" t="s">
        <v>1</v>
      </c>
    </row>
    <row r="2" spans="1:22" ht="13.5" customHeight="1" thickBot="1" x14ac:dyDescent="0.25"/>
    <row r="3" spans="1:22" ht="13.5" customHeight="1" thickTop="1" thickBot="1" x14ac:dyDescent="0.25">
      <c r="B3" s="4" t="s">
        <v>5</v>
      </c>
      <c r="C3" s="5"/>
      <c r="D3" s="5"/>
      <c r="E3" s="5"/>
      <c r="F3" s="5"/>
      <c r="G3" s="5"/>
      <c r="H3" s="6"/>
      <c r="I3" s="6"/>
      <c r="J3" s="6"/>
      <c r="K3" s="6"/>
      <c r="L3" s="6"/>
      <c r="M3" s="6"/>
      <c r="N3" s="6"/>
      <c r="O3" s="6"/>
      <c r="P3" s="6"/>
      <c r="Q3" s="6"/>
      <c r="R3" s="6"/>
      <c r="S3" s="6"/>
      <c r="T3" s="6"/>
      <c r="U3" s="7"/>
    </row>
    <row r="4" spans="1:22" ht="51.75" customHeight="1" thickTop="1" x14ac:dyDescent="0.2">
      <c r="B4" s="8" t="s">
        <v>6</v>
      </c>
      <c r="C4" s="9" t="s">
        <v>1308</v>
      </c>
      <c r="D4" s="57" t="s">
        <v>1309</v>
      </c>
      <c r="E4" s="57"/>
      <c r="F4" s="57"/>
      <c r="G4" s="57"/>
      <c r="H4" s="57"/>
      <c r="I4" s="10"/>
      <c r="J4" s="11" t="s">
        <v>9</v>
      </c>
      <c r="K4" s="12" t="s">
        <v>10</v>
      </c>
      <c r="L4" s="58" t="s">
        <v>11</v>
      </c>
      <c r="M4" s="58"/>
      <c r="N4" s="58"/>
      <c r="O4" s="58"/>
      <c r="P4" s="11" t="s">
        <v>12</v>
      </c>
      <c r="Q4" s="58" t="s">
        <v>1310</v>
      </c>
      <c r="R4" s="58"/>
      <c r="S4" s="11" t="s">
        <v>14</v>
      </c>
      <c r="T4" s="58"/>
      <c r="U4" s="59"/>
    </row>
    <row r="5" spans="1:22" ht="15.75" customHeight="1" x14ac:dyDescent="0.2">
      <c r="B5" s="54" t="s">
        <v>15</v>
      </c>
      <c r="C5" s="55"/>
      <c r="D5" s="55"/>
      <c r="E5" s="55"/>
      <c r="F5" s="55"/>
      <c r="G5" s="55"/>
      <c r="H5" s="55"/>
      <c r="I5" s="55"/>
      <c r="J5" s="55"/>
      <c r="K5" s="55"/>
      <c r="L5" s="55"/>
      <c r="M5" s="55"/>
      <c r="N5" s="55"/>
      <c r="O5" s="55"/>
      <c r="P5" s="55"/>
      <c r="Q5" s="55"/>
      <c r="R5" s="55"/>
      <c r="S5" s="55"/>
      <c r="T5" s="55"/>
      <c r="U5" s="56"/>
    </row>
    <row r="6" spans="1:22" ht="37.5" customHeight="1" thickBot="1" x14ac:dyDescent="0.25">
      <c r="B6" s="13" t="s">
        <v>16</v>
      </c>
      <c r="C6" s="60" t="s">
        <v>17</v>
      </c>
      <c r="D6" s="60"/>
      <c r="E6" s="60"/>
      <c r="F6" s="60"/>
      <c r="G6" s="60"/>
      <c r="H6" s="14"/>
      <c r="I6" s="14"/>
      <c r="J6" s="14" t="s">
        <v>18</v>
      </c>
      <c r="K6" s="60" t="s">
        <v>19</v>
      </c>
      <c r="L6" s="60"/>
      <c r="M6" s="60"/>
      <c r="N6" s="15"/>
      <c r="O6" s="16" t="s">
        <v>20</v>
      </c>
      <c r="P6" s="60" t="s">
        <v>1311</v>
      </c>
      <c r="Q6" s="60"/>
      <c r="R6" s="17"/>
      <c r="S6" s="16" t="s">
        <v>22</v>
      </c>
      <c r="T6" s="60" t="s">
        <v>785</v>
      </c>
      <c r="U6" s="61"/>
    </row>
    <row r="7" spans="1:22" ht="14.25" customHeight="1" thickTop="1" thickBot="1" x14ac:dyDescent="0.25">
      <c r="B7" s="4" t="s">
        <v>24</v>
      </c>
      <c r="C7" s="5"/>
      <c r="D7" s="5"/>
      <c r="E7" s="5"/>
      <c r="F7" s="5"/>
      <c r="G7" s="5"/>
      <c r="H7" s="6"/>
      <c r="I7" s="6"/>
      <c r="J7" s="6"/>
      <c r="K7" s="6"/>
      <c r="L7" s="6"/>
      <c r="M7" s="6"/>
      <c r="N7" s="6"/>
      <c r="O7" s="6"/>
      <c r="P7" s="6"/>
      <c r="Q7" s="6"/>
      <c r="R7" s="6"/>
      <c r="S7" s="6"/>
      <c r="T7" s="6"/>
      <c r="U7" s="7"/>
    </row>
    <row r="8" spans="1:22" ht="16.5" customHeight="1" thickTop="1" x14ac:dyDescent="0.2">
      <c r="B8" s="62" t="s">
        <v>25</v>
      </c>
      <c r="C8" s="65" t="s">
        <v>26</v>
      </c>
      <c r="D8" s="66"/>
      <c r="E8" s="66"/>
      <c r="F8" s="66"/>
      <c r="G8" s="66"/>
      <c r="H8" s="67"/>
      <c r="I8" s="74" t="s">
        <v>27</v>
      </c>
      <c r="J8" s="75"/>
      <c r="K8" s="75"/>
      <c r="L8" s="75"/>
      <c r="M8" s="75"/>
      <c r="N8" s="75"/>
      <c r="O8" s="75"/>
      <c r="P8" s="75"/>
      <c r="Q8" s="75"/>
      <c r="R8" s="75"/>
      <c r="S8" s="76"/>
      <c r="T8" s="77" t="s">
        <v>28</v>
      </c>
      <c r="U8" s="78"/>
    </row>
    <row r="9" spans="1:22" ht="19.5" customHeight="1" x14ac:dyDescent="0.2">
      <c r="B9" s="63"/>
      <c r="C9" s="68"/>
      <c r="D9" s="69"/>
      <c r="E9" s="69"/>
      <c r="F9" s="69"/>
      <c r="G9" s="69"/>
      <c r="H9" s="70"/>
      <c r="I9" s="79" t="s">
        <v>29</v>
      </c>
      <c r="J9" s="80"/>
      <c r="K9" s="80"/>
      <c r="L9" s="80" t="s">
        <v>30</v>
      </c>
      <c r="M9" s="80"/>
      <c r="N9" s="80"/>
      <c r="O9" s="80"/>
      <c r="P9" s="80" t="s">
        <v>31</v>
      </c>
      <c r="Q9" s="80" t="s">
        <v>32</v>
      </c>
      <c r="R9" s="83" t="s">
        <v>33</v>
      </c>
      <c r="S9" s="84"/>
      <c r="T9" s="80" t="s">
        <v>34</v>
      </c>
      <c r="U9" s="85" t="s">
        <v>35</v>
      </c>
    </row>
    <row r="10" spans="1:22" ht="26.25" customHeight="1" thickBot="1" x14ac:dyDescent="0.25">
      <c r="B10" s="64"/>
      <c r="C10" s="71"/>
      <c r="D10" s="72"/>
      <c r="E10" s="72"/>
      <c r="F10" s="72"/>
      <c r="G10" s="72"/>
      <c r="H10" s="73"/>
      <c r="I10" s="81"/>
      <c r="J10" s="82"/>
      <c r="K10" s="82"/>
      <c r="L10" s="82"/>
      <c r="M10" s="82"/>
      <c r="N10" s="82"/>
      <c r="O10" s="82"/>
      <c r="P10" s="82"/>
      <c r="Q10" s="82"/>
      <c r="R10" s="19" t="s">
        <v>36</v>
      </c>
      <c r="S10" s="20" t="s">
        <v>37</v>
      </c>
      <c r="T10" s="82"/>
      <c r="U10" s="86"/>
    </row>
    <row r="11" spans="1:22" ht="75" customHeight="1" thickTop="1" thickBot="1" x14ac:dyDescent="0.25">
      <c r="A11" s="21"/>
      <c r="B11" s="22" t="s">
        <v>38</v>
      </c>
      <c r="C11" s="87" t="s">
        <v>1312</v>
      </c>
      <c r="D11" s="87"/>
      <c r="E11" s="87"/>
      <c r="F11" s="87"/>
      <c r="G11" s="87"/>
      <c r="H11" s="87"/>
      <c r="I11" s="87" t="s">
        <v>1313</v>
      </c>
      <c r="J11" s="87"/>
      <c r="K11" s="87"/>
      <c r="L11" s="87" t="s">
        <v>1314</v>
      </c>
      <c r="M11" s="87"/>
      <c r="N11" s="87"/>
      <c r="O11" s="87"/>
      <c r="P11" s="23" t="s">
        <v>198</v>
      </c>
      <c r="Q11" s="23" t="s">
        <v>43</v>
      </c>
      <c r="R11" s="23">
        <v>3</v>
      </c>
      <c r="S11" s="23">
        <v>2.73</v>
      </c>
      <c r="T11" s="23">
        <v>15.08</v>
      </c>
      <c r="U11" s="47">
        <f>552.38</f>
        <v>552.38</v>
      </c>
    </row>
    <row r="12" spans="1:22" ht="75" customHeight="1" thickTop="1" thickBot="1" x14ac:dyDescent="0.25">
      <c r="A12" s="21"/>
      <c r="B12" s="22" t="s">
        <v>44</v>
      </c>
      <c r="C12" s="87" t="s">
        <v>1315</v>
      </c>
      <c r="D12" s="87"/>
      <c r="E12" s="87"/>
      <c r="F12" s="87"/>
      <c r="G12" s="87"/>
      <c r="H12" s="87"/>
      <c r="I12" s="87" t="s">
        <v>1316</v>
      </c>
      <c r="J12" s="87"/>
      <c r="K12" s="87"/>
      <c r="L12" s="87" t="s">
        <v>1317</v>
      </c>
      <c r="M12" s="87"/>
      <c r="N12" s="87"/>
      <c r="O12" s="87"/>
      <c r="P12" s="23" t="s">
        <v>48</v>
      </c>
      <c r="Q12" s="23" t="s">
        <v>43</v>
      </c>
      <c r="R12" s="23">
        <v>100</v>
      </c>
      <c r="S12" s="23">
        <v>100</v>
      </c>
      <c r="T12" s="104">
        <v>100</v>
      </c>
      <c r="U12" s="108">
        <v>100</v>
      </c>
    </row>
    <row r="13" spans="1:22" ht="75" customHeight="1" thickTop="1" thickBot="1" x14ac:dyDescent="0.25">
      <c r="A13" s="21"/>
      <c r="B13" s="22" t="s">
        <v>50</v>
      </c>
      <c r="C13" s="87" t="s">
        <v>1318</v>
      </c>
      <c r="D13" s="87"/>
      <c r="E13" s="87"/>
      <c r="F13" s="87"/>
      <c r="G13" s="87"/>
      <c r="H13" s="87"/>
      <c r="I13" s="87" t="s">
        <v>1319</v>
      </c>
      <c r="J13" s="87"/>
      <c r="K13" s="87"/>
      <c r="L13" s="87" t="s">
        <v>1320</v>
      </c>
      <c r="M13" s="87"/>
      <c r="N13" s="87"/>
      <c r="O13" s="87"/>
      <c r="P13" s="23" t="s">
        <v>48</v>
      </c>
      <c r="Q13" s="23" t="s">
        <v>43</v>
      </c>
      <c r="R13" s="23">
        <v>100</v>
      </c>
      <c r="S13" s="23">
        <v>100</v>
      </c>
      <c r="T13" s="23">
        <v>100</v>
      </c>
      <c r="U13" s="47">
        <f>100</f>
        <v>100</v>
      </c>
    </row>
    <row r="14" spans="1:22" ht="75" customHeight="1" thickTop="1" thickBot="1" x14ac:dyDescent="0.25">
      <c r="A14" s="21"/>
      <c r="B14" s="22" t="s">
        <v>61</v>
      </c>
      <c r="C14" s="87" t="s">
        <v>1321</v>
      </c>
      <c r="D14" s="87"/>
      <c r="E14" s="87"/>
      <c r="F14" s="87"/>
      <c r="G14" s="87"/>
      <c r="H14" s="87"/>
      <c r="I14" s="87" t="s">
        <v>1322</v>
      </c>
      <c r="J14" s="87"/>
      <c r="K14" s="87"/>
      <c r="L14" s="87" t="s">
        <v>1323</v>
      </c>
      <c r="M14" s="87"/>
      <c r="N14" s="87"/>
      <c r="O14" s="87"/>
      <c r="P14" s="23" t="s">
        <v>48</v>
      </c>
      <c r="Q14" s="23" t="s">
        <v>535</v>
      </c>
      <c r="R14" s="23">
        <v>100</v>
      </c>
      <c r="S14" s="23">
        <v>100</v>
      </c>
      <c r="T14" s="23">
        <v>98</v>
      </c>
      <c r="U14" s="47">
        <f>98</f>
        <v>98</v>
      </c>
    </row>
    <row r="15" spans="1:22" ht="14.25" customHeight="1" thickTop="1" thickBot="1" x14ac:dyDescent="0.25">
      <c r="B15" s="4" t="s">
        <v>80</v>
      </c>
      <c r="C15" s="5"/>
      <c r="D15" s="5"/>
      <c r="E15" s="5"/>
      <c r="F15" s="5"/>
      <c r="G15" s="5"/>
      <c r="H15" s="6"/>
      <c r="I15" s="6"/>
      <c r="J15" s="6"/>
      <c r="K15" s="6"/>
      <c r="L15" s="6"/>
      <c r="M15" s="6"/>
      <c r="N15" s="6"/>
      <c r="O15" s="6"/>
      <c r="P15" s="6"/>
      <c r="Q15" s="6"/>
      <c r="R15" s="6"/>
      <c r="S15" s="6"/>
      <c r="T15" s="6"/>
      <c r="U15" s="7"/>
      <c r="V15" s="26"/>
    </row>
    <row r="16" spans="1:22" ht="26.25" customHeight="1" thickTop="1" x14ac:dyDescent="0.2">
      <c r="B16" s="27"/>
      <c r="C16" s="28"/>
      <c r="D16" s="28"/>
      <c r="E16" s="28"/>
      <c r="F16" s="28"/>
      <c r="G16" s="28"/>
      <c r="H16" s="29"/>
      <c r="I16" s="29"/>
      <c r="J16" s="29"/>
      <c r="K16" s="29"/>
      <c r="L16" s="29"/>
      <c r="M16" s="29"/>
      <c r="N16" s="29"/>
      <c r="O16" s="29"/>
      <c r="P16" s="29"/>
      <c r="Q16" s="29"/>
      <c r="R16" s="30"/>
      <c r="S16" s="31" t="s">
        <v>33</v>
      </c>
      <c r="T16" s="31" t="s">
        <v>81</v>
      </c>
      <c r="U16" s="18" t="s">
        <v>82</v>
      </c>
    </row>
    <row r="17" spans="2:21" ht="26.25" customHeight="1" thickBot="1" x14ac:dyDescent="0.25">
      <c r="B17" s="32"/>
      <c r="C17" s="33"/>
      <c r="D17" s="33"/>
      <c r="E17" s="33"/>
      <c r="F17" s="33"/>
      <c r="G17" s="33"/>
      <c r="H17" s="34"/>
      <c r="I17" s="34"/>
      <c r="J17" s="34"/>
      <c r="K17" s="34"/>
      <c r="L17" s="34"/>
      <c r="M17" s="34"/>
      <c r="N17" s="34"/>
      <c r="O17" s="34"/>
      <c r="P17" s="34"/>
      <c r="Q17" s="34"/>
      <c r="R17" s="34"/>
      <c r="S17" s="35" t="s">
        <v>83</v>
      </c>
      <c r="T17" s="36" t="s">
        <v>83</v>
      </c>
      <c r="U17" s="36" t="s">
        <v>84</v>
      </c>
    </row>
    <row r="18" spans="2:21" ht="13.5" customHeight="1" thickBot="1" x14ac:dyDescent="0.25">
      <c r="B18" s="92" t="s">
        <v>85</v>
      </c>
      <c r="C18" s="93"/>
      <c r="D18" s="93"/>
      <c r="E18" s="37"/>
      <c r="F18" s="37"/>
      <c r="G18" s="37"/>
      <c r="H18" s="38"/>
      <c r="I18" s="38"/>
      <c r="J18" s="38"/>
      <c r="K18" s="38"/>
      <c r="L18" s="38"/>
      <c r="M18" s="38"/>
      <c r="N18" s="38"/>
      <c r="O18" s="38"/>
      <c r="P18" s="39"/>
      <c r="Q18" s="39"/>
      <c r="R18" s="39"/>
      <c r="S18" s="48">
        <v>379.00756200000001</v>
      </c>
      <c r="T18" s="48">
        <v>375.63035703999998</v>
      </c>
      <c r="U18" s="49">
        <f>+IF(ISERR(T18/S18*100),"N/A",ROUND(T18/S18*100,1))</f>
        <v>99.1</v>
      </c>
    </row>
    <row r="19" spans="2:21" ht="13.5" customHeight="1" thickBot="1" x14ac:dyDescent="0.25">
      <c r="B19" s="94" t="s">
        <v>86</v>
      </c>
      <c r="C19" s="95"/>
      <c r="D19" s="95"/>
      <c r="E19" s="40"/>
      <c r="F19" s="40"/>
      <c r="G19" s="40"/>
      <c r="H19" s="41"/>
      <c r="I19" s="41"/>
      <c r="J19" s="41"/>
      <c r="K19" s="41"/>
      <c r="L19" s="41"/>
      <c r="M19" s="41"/>
      <c r="N19" s="41"/>
      <c r="O19" s="41"/>
      <c r="P19" s="42"/>
      <c r="Q19" s="42"/>
      <c r="R19" s="42"/>
      <c r="S19" s="48">
        <v>375.63035704000004</v>
      </c>
      <c r="T19" s="48">
        <v>375.63035703999998</v>
      </c>
      <c r="U19" s="49">
        <f>+IF(ISERR(T19/S19*100),"N/A",ROUND(T19/S19*100,1))</f>
        <v>100</v>
      </c>
    </row>
    <row r="20" spans="2:21" ht="14.85" customHeight="1" thickTop="1" thickBot="1" x14ac:dyDescent="0.25">
      <c r="B20" s="4" t="s">
        <v>87</v>
      </c>
      <c r="C20" s="5"/>
      <c r="D20" s="5"/>
      <c r="E20" s="5"/>
      <c r="F20" s="5"/>
      <c r="G20" s="5"/>
      <c r="H20" s="6"/>
      <c r="I20" s="6"/>
      <c r="J20" s="6"/>
      <c r="K20" s="6"/>
      <c r="L20" s="6"/>
      <c r="M20" s="6"/>
      <c r="N20" s="6"/>
      <c r="O20" s="6"/>
      <c r="P20" s="6"/>
      <c r="Q20" s="6"/>
      <c r="R20" s="6"/>
      <c r="S20" s="6"/>
      <c r="T20" s="6"/>
      <c r="U20" s="7"/>
    </row>
    <row r="21" spans="2:21" ht="44.25" customHeight="1" thickTop="1" x14ac:dyDescent="0.2">
      <c r="B21" s="89" t="s">
        <v>88</v>
      </c>
      <c r="C21" s="90"/>
      <c r="D21" s="90"/>
      <c r="E21" s="90"/>
      <c r="F21" s="90"/>
      <c r="G21" s="90"/>
      <c r="H21" s="90"/>
      <c r="I21" s="90"/>
      <c r="J21" s="90"/>
      <c r="K21" s="90"/>
      <c r="L21" s="90"/>
      <c r="M21" s="90"/>
      <c r="N21" s="90"/>
      <c r="O21" s="90"/>
      <c r="P21" s="90"/>
      <c r="Q21" s="90"/>
      <c r="R21" s="90"/>
      <c r="S21" s="90"/>
      <c r="T21" s="90"/>
      <c r="U21" s="91"/>
    </row>
    <row r="22" spans="2:21" ht="49.5" customHeight="1" x14ac:dyDescent="0.2">
      <c r="B22" s="96" t="s">
        <v>1324</v>
      </c>
      <c r="C22" s="97"/>
      <c r="D22" s="97"/>
      <c r="E22" s="97"/>
      <c r="F22" s="97"/>
      <c r="G22" s="97"/>
      <c r="H22" s="97"/>
      <c r="I22" s="97"/>
      <c r="J22" s="97"/>
      <c r="K22" s="97"/>
      <c r="L22" s="97"/>
      <c r="M22" s="97"/>
      <c r="N22" s="97"/>
      <c r="O22" s="97"/>
      <c r="P22" s="97"/>
      <c r="Q22" s="97"/>
      <c r="R22" s="97"/>
      <c r="S22" s="97"/>
      <c r="T22" s="97"/>
      <c r="U22" s="98"/>
    </row>
    <row r="23" spans="2:21" ht="143.25" customHeight="1" x14ac:dyDescent="0.2">
      <c r="B23" s="96" t="s">
        <v>1325</v>
      </c>
      <c r="C23" s="97"/>
      <c r="D23" s="97"/>
      <c r="E23" s="97"/>
      <c r="F23" s="97"/>
      <c r="G23" s="97"/>
      <c r="H23" s="97"/>
      <c r="I23" s="97"/>
      <c r="J23" s="97"/>
      <c r="K23" s="97"/>
      <c r="L23" s="97"/>
      <c r="M23" s="97"/>
      <c r="N23" s="97"/>
      <c r="O23" s="97"/>
      <c r="P23" s="97"/>
      <c r="Q23" s="97"/>
      <c r="R23" s="97"/>
      <c r="S23" s="97"/>
      <c r="T23" s="97"/>
      <c r="U23" s="98"/>
    </row>
    <row r="24" spans="2:21" ht="42" customHeight="1" x14ac:dyDescent="0.2">
      <c r="B24" s="96" t="s">
        <v>1326</v>
      </c>
      <c r="C24" s="97"/>
      <c r="D24" s="97"/>
      <c r="E24" s="97"/>
      <c r="F24" s="97"/>
      <c r="G24" s="97"/>
      <c r="H24" s="97"/>
      <c r="I24" s="97"/>
      <c r="J24" s="97"/>
      <c r="K24" s="97"/>
      <c r="L24" s="97"/>
      <c r="M24" s="97"/>
      <c r="N24" s="97"/>
      <c r="O24" s="97"/>
      <c r="P24" s="97"/>
      <c r="Q24" s="97"/>
      <c r="R24" s="97"/>
      <c r="S24" s="97"/>
      <c r="T24" s="97"/>
      <c r="U24" s="98"/>
    </row>
    <row r="25" spans="2:21" ht="64.5" customHeight="1" thickBot="1" x14ac:dyDescent="0.25">
      <c r="B25" s="99" t="s">
        <v>1327</v>
      </c>
      <c r="C25" s="100"/>
      <c r="D25" s="100"/>
      <c r="E25" s="100"/>
      <c r="F25" s="100"/>
      <c r="G25" s="100"/>
      <c r="H25" s="100"/>
      <c r="I25" s="100"/>
      <c r="J25" s="100"/>
      <c r="K25" s="100"/>
      <c r="L25" s="100"/>
      <c r="M25" s="100"/>
      <c r="N25" s="100"/>
      <c r="O25" s="100"/>
      <c r="P25" s="100"/>
      <c r="Q25" s="100"/>
      <c r="R25" s="100"/>
      <c r="S25" s="100"/>
      <c r="T25" s="100"/>
      <c r="U25" s="101"/>
    </row>
  </sheetData>
  <mergeCells count="40">
    <mergeCell ref="B22:U22"/>
    <mergeCell ref="B23:U23"/>
    <mergeCell ref="B24:U24"/>
    <mergeCell ref="B25:U25"/>
    <mergeCell ref="C14:H14"/>
    <mergeCell ref="I14:K14"/>
    <mergeCell ref="L14:O14"/>
    <mergeCell ref="B18:D18"/>
    <mergeCell ref="B19:D19"/>
    <mergeCell ref="B21:U21"/>
    <mergeCell ref="C12:H12"/>
    <mergeCell ref="I12:K12"/>
    <mergeCell ref="L12:O12"/>
    <mergeCell ref="C13:H13"/>
    <mergeCell ref="I13:K13"/>
    <mergeCell ref="L13:O13"/>
    <mergeCell ref="C11:H11"/>
    <mergeCell ref="I11:K11"/>
    <mergeCell ref="L11:O11"/>
    <mergeCell ref="C6:G6"/>
    <mergeCell ref="K6:M6"/>
    <mergeCell ref="P6:Q6"/>
    <mergeCell ref="T6:U6"/>
    <mergeCell ref="B8:B10"/>
    <mergeCell ref="C8:H10"/>
    <mergeCell ref="I8:S8"/>
    <mergeCell ref="T8:U8"/>
    <mergeCell ref="I9:K10"/>
    <mergeCell ref="L9:O10"/>
    <mergeCell ref="P9:P10"/>
    <mergeCell ref="Q9:Q10"/>
    <mergeCell ref="R9:S9"/>
    <mergeCell ref="T9:T10"/>
    <mergeCell ref="U9:U10"/>
    <mergeCell ref="B5:U5"/>
    <mergeCell ref="B1:L1"/>
    <mergeCell ref="D4:H4"/>
    <mergeCell ref="L4:O4"/>
    <mergeCell ref="Q4:R4"/>
    <mergeCell ref="T4:U4"/>
  </mergeCells>
  <printOptions horizontalCentered="1"/>
  <pageMargins left="0.78740157480314965" right="0.78740157480314965" top="0.98425196850393704" bottom="0.98425196850393704" header="0" footer="0.39370078740157483"/>
  <pageSetup scale="60" fitToHeight="10" orientation="landscape" r:id="rId1"/>
  <headerFooter>
    <oddFooter>&amp;R&amp;P de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37"/>
  <sheetViews>
    <sheetView view="pageBreakPreview" topLeftCell="A10" zoomScale="80" zoomScaleNormal="80" zoomScaleSheetLayoutView="80" workbookViewId="0">
      <selection activeCell="R13" sqref="R13:U13"/>
    </sheetView>
  </sheetViews>
  <sheetFormatPr baseColWidth="10" defaultColWidth="10" defaultRowHeight="12.75" x14ac:dyDescent="0.2"/>
  <cols>
    <col min="1" max="1" width="3.5" style="1" customWidth="1"/>
    <col min="2" max="2" width="14.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9.5" style="1" customWidth="1"/>
    <col min="19" max="19" width="13" style="1" customWidth="1"/>
    <col min="20" max="20" width="10.75" style="1" customWidth="1"/>
    <col min="21" max="21" width="11.12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50" t="s">
        <v>0</v>
      </c>
      <c r="C1" s="50"/>
      <c r="D1" s="50"/>
      <c r="E1" s="50"/>
      <c r="F1" s="50"/>
      <c r="G1" s="50"/>
      <c r="H1" s="50"/>
      <c r="I1" s="50"/>
      <c r="J1" s="50"/>
      <c r="K1" s="50"/>
      <c r="L1" s="50"/>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51.75" customHeight="1" thickTop="1" x14ac:dyDescent="0.2">
      <c r="B4" s="8" t="s">
        <v>6</v>
      </c>
      <c r="C4" s="9" t="s">
        <v>97</v>
      </c>
      <c r="D4" s="57" t="s">
        <v>98</v>
      </c>
      <c r="E4" s="57"/>
      <c r="F4" s="57"/>
      <c r="G4" s="57"/>
      <c r="H4" s="57"/>
      <c r="I4" s="10"/>
      <c r="J4" s="11" t="s">
        <v>9</v>
      </c>
      <c r="K4" s="12" t="s">
        <v>10</v>
      </c>
      <c r="L4" s="58" t="s">
        <v>11</v>
      </c>
      <c r="M4" s="58"/>
      <c r="N4" s="58"/>
      <c r="O4" s="58"/>
      <c r="P4" s="11" t="s">
        <v>12</v>
      </c>
      <c r="Q4" s="58" t="s">
        <v>99</v>
      </c>
      <c r="R4" s="58"/>
      <c r="S4" s="11" t="s">
        <v>14</v>
      </c>
      <c r="T4" s="58"/>
      <c r="U4" s="59"/>
    </row>
    <row r="5" spans="1:21" ht="15.75" customHeight="1" x14ac:dyDescent="0.2">
      <c r="B5" s="54" t="s">
        <v>15</v>
      </c>
      <c r="C5" s="55"/>
      <c r="D5" s="55"/>
      <c r="E5" s="55"/>
      <c r="F5" s="55"/>
      <c r="G5" s="55"/>
      <c r="H5" s="55"/>
      <c r="I5" s="55"/>
      <c r="J5" s="55"/>
      <c r="K5" s="55"/>
      <c r="L5" s="55"/>
      <c r="M5" s="55"/>
      <c r="N5" s="55"/>
      <c r="O5" s="55"/>
      <c r="P5" s="55"/>
      <c r="Q5" s="55"/>
      <c r="R5" s="55"/>
      <c r="S5" s="55"/>
      <c r="T5" s="55"/>
      <c r="U5" s="56"/>
    </row>
    <row r="6" spans="1:21" ht="37.5" customHeight="1" thickBot="1" x14ac:dyDescent="0.25">
      <c r="B6" s="13" t="s">
        <v>16</v>
      </c>
      <c r="C6" s="60" t="s">
        <v>17</v>
      </c>
      <c r="D6" s="60"/>
      <c r="E6" s="60"/>
      <c r="F6" s="60"/>
      <c r="G6" s="60"/>
      <c r="H6" s="14"/>
      <c r="I6" s="14"/>
      <c r="J6" s="14" t="s">
        <v>18</v>
      </c>
      <c r="K6" s="60" t="s">
        <v>19</v>
      </c>
      <c r="L6" s="60"/>
      <c r="M6" s="60"/>
      <c r="N6" s="15"/>
      <c r="O6" s="16" t="s">
        <v>20</v>
      </c>
      <c r="P6" s="60" t="s">
        <v>21</v>
      </c>
      <c r="Q6" s="60"/>
      <c r="R6" s="17"/>
      <c r="S6" s="16" t="s">
        <v>22</v>
      </c>
      <c r="T6" s="60" t="s">
        <v>23</v>
      </c>
      <c r="U6" s="61"/>
    </row>
    <row r="7" spans="1:21" ht="14.25" customHeight="1" thickTop="1" thickBot="1" x14ac:dyDescent="0.25">
      <c r="B7" s="4" t="s">
        <v>24</v>
      </c>
      <c r="C7" s="5"/>
      <c r="D7" s="5"/>
      <c r="E7" s="5"/>
      <c r="F7" s="5"/>
      <c r="G7" s="5"/>
      <c r="H7" s="6"/>
      <c r="I7" s="6"/>
      <c r="J7" s="6"/>
      <c r="K7" s="6"/>
      <c r="L7" s="6"/>
      <c r="M7" s="6"/>
      <c r="N7" s="6"/>
      <c r="O7" s="6"/>
      <c r="P7" s="6"/>
      <c r="Q7" s="6"/>
      <c r="R7" s="6"/>
      <c r="S7" s="6"/>
      <c r="T7" s="6"/>
      <c r="U7" s="7"/>
    </row>
    <row r="8" spans="1:21" ht="16.5" customHeight="1" thickTop="1" x14ac:dyDescent="0.2">
      <c r="B8" s="62" t="s">
        <v>25</v>
      </c>
      <c r="C8" s="65" t="s">
        <v>26</v>
      </c>
      <c r="D8" s="66"/>
      <c r="E8" s="66"/>
      <c r="F8" s="66"/>
      <c r="G8" s="66"/>
      <c r="H8" s="67"/>
      <c r="I8" s="74" t="s">
        <v>27</v>
      </c>
      <c r="J8" s="75"/>
      <c r="K8" s="75"/>
      <c r="L8" s="75"/>
      <c r="M8" s="75"/>
      <c r="N8" s="75"/>
      <c r="O8" s="75"/>
      <c r="P8" s="75"/>
      <c r="Q8" s="75"/>
      <c r="R8" s="75"/>
      <c r="S8" s="76"/>
      <c r="T8" s="77" t="s">
        <v>28</v>
      </c>
      <c r="U8" s="78"/>
    </row>
    <row r="9" spans="1:21" ht="19.5" customHeight="1" x14ac:dyDescent="0.2">
      <c r="B9" s="63"/>
      <c r="C9" s="68"/>
      <c r="D9" s="69"/>
      <c r="E9" s="69"/>
      <c r="F9" s="69"/>
      <c r="G9" s="69"/>
      <c r="H9" s="70"/>
      <c r="I9" s="79" t="s">
        <v>29</v>
      </c>
      <c r="J9" s="80"/>
      <c r="K9" s="80"/>
      <c r="L9" s="80" t="s">
        <v>30</v>
      </c>
      <c r="M9" s="80"/>
      <c r="N9" s="80"/>
      <c r="O9" s="80"/>
      <c r="P9" s="80" t="s">
        <v>31</v>
      </c>
      <c r="Q9" s="80" t="s">
        <v>32</v>
      </c>
      <c r="R9" s="83" t="s">
        <v>33</v>
      </c>
      <c r="S9" s="84"/>
      <c r="T9" s="80" t="s">
        <v>34</v>
      </c>
      <c r="U9" s="85" t="s">
        <v>35</v>
      </c>
    </row>
    <row r="10" spans="1:21" ht="26.25" customHeight="1" thickBot="1" x14ac:dyDescent="0.25">
      <c r="B10" s="64"/>
      <c r="C10" s="71"/>
      <c r="D10" s="72"/>
      <c r="E10" s="72"/>
      <c r="F10" s="72"/>
      <c r="G10" s="72"/>
      <c r="H10" s="73"/>
      <c r="I10" s="81"/>
      <c r="J10" s="82"/>
      <c r="K10" s="82"/>
      <c r="L10" s="82"/>
      <c r="M10" s="82"/>
      <c r="N10" s="82"/>
      <c r="O10" s="82"/>
      <c r="P10" s="82"/>
      <c r="Q10" s="82"/>
      <c r="R10" s="19" t="s">
        <v>36</v>
      </c>
      <c r="S10" s="20" t="s">
        <v>37</v>
      </c>
      <c r="T10" s="82"/>
      <c r="U10" s="86"/>
    </row>
    <row r="11" spans="1:21" ht="130.5" customHeight="1" thickTop="1" thickBot="1" x14ac:dyDescent="0.25">
      <c r="A11" s="21"/>
      <c r="B11" s="22" t="s">
        <v>38</v>
      </c>
      <c r="C11" s="87" t="s">
        <v>100</v>
      </c>
      <c r="D11" s="87"/>
      <c r="E11" s="87"/>
      <c r="F11" s="87"/>
      <c r="G11" s="87"/>
      <c r="H11" s="87"/>
      <c r="I11" s="87" t="s">
        <v>101</v>
      </c>
      <c r="J11" s="87"/>
      <c r="K11" s="87"/>
      <c r="L11" s="87" t="s">
        <v>102</v>
      </c>
      <c r="M11" s="87"/>
      <c r="N11" s="87"/>
      <c r="O11" s="87"/>
      <c r="P11" s="23" t="s">
        <v>48</v>
      </c>
      <c r="Q11" s="23" t="s">
        <v>43</v>
      </c>
      <c r="R11" s="23">
        <v>31.44</v>
      </c>
      <c r="S11" s="23">
        <v>31.44</v>
      </c>
      <c r="T11" s="23">
        <v>32.67</v>
      </c>
      <c r="U11" s="45">
        <f>103.9</f>
        <v>103.9</v>
      </c>
    </row>
    <row r="12" spans="1:21" ht="102" customHeight="1" thickTop="1" x14ac:dyDescent="0.2">
      <c r="A12" s="21"/>
      <c r="B12" s="22" t="s">
        <v>44</v>
      </c>
      <c r="C12" s="87" t="s">
        <v>103</v>
      </c>
      <c r="D12" s="87"/>
      <c r="E12" s="87"/>
      <c r="F12" s="87"/>
      <c r="G12" s="87"/>
      <c r="H12" s="87"/>
      <c r="I12" s="87" t="s">
        <v>104</v>
      </c>
      <c r="J12" s="87"/>
      <c r="K12" s="87"/>
      <c r="L12" s="87" t="s">
        <v>105</v>
      </c>
      <c r="M12" s="87"/>
      <c r="N12" s="87"/>
      <c r="O12" s="87"/>
      <c r="P12" s="23" t="s">
        <v>48</v>
      </c>
      <c r="Q12" s="23" t="s">
        <v>49</v>
      </c>
      <c r="R12" s="23">
        <v>77.930000000000007</v>
      </c>
      <c r="S12" s="23">
        <v>77.930000000000007</v>
      </c>
      <c r="T12" s="23">
        <v>78.69</v>
      </c>
      <c r="U12" s="45">
        <v>102.9</v>
      </c>
    </row>
    <row r="13" spans="1:21" ht="96.75" customHeight="1" thickBot="1" x14ac:dyDescent="0.25">
      <c r="A13" s="21"/>
      <c r="B13" s="24" t="s">
        <v>55</v>
      </c>
      <c r="C13" s="88" t="s">
        <v>55</v>
      </c>
      <c r="D13" s="88"/>
      <c r="E13" s="88"/>
      <c r="F13" s="88"/>
      <c r="G13" s="88"/>
      <c r="H13" s="88"/>
      <c r="I13" s="88" t="s">
        <v>106</v>
      </c>
      <c r="J13" s="88"/>
      <c r="K13" s="88"/>
      <c r="L13" s="88" t="s">
        <v>107</v>
      </c>
      <c r="M13" s="88"/>
      <c r="N13" s="88"/>
      <c r="O13" s="88"/>
      <c r="P13" s="25" t="s">
        <v>42</v>
      </c>
      <c r="Q13" s="25" t="s">
        <v>43</v>
      </c>
      <c r="R13" s="25">
        <v>61.61</v>
      </c>
      <c r="S13" s="25">
        <v>61.61</v>
      </c>
      <c r="T13" s="25">
        <v>77.569999999999993</v>
      </c>
      <c r="U13" s="46">
        <f>125.9</f>
        <v>125.9</v>
      </c>
    </row>
    <row r="14" spans="1:21" ht="75" customHeight="1" thickTop="1" x14ac:dyDescent="0.2">
      <c r="A14" s="21"/>
      <c r="B14" s="22" t="s">
        <v>50</v>
      </c>
      <c r="C14" s="87" t="s">
        <v>108</v>
      </c>
      <c r="D14" s="87"/>
      <c r="E14" s="87"/>
      <c r="F14" s="87"/>
      <c r="G14" s="87"/>
      <c r="H14" s="87"/>
      <c r="I14" s="87" t="s">
        <v>109</v>
      </c>
      <c r="J14" s="87"/>
      <c r="K14" s="87"/>
      <c r="L14" s="87" t="s">
        <v>110</v>
      </c>
      <c r="M14" s="87"/>
      <c r="N14" s="87"/>
      <c r="O14" s="87"/>
      <c r="P14" s="23" t="s">
        <v>111</v>
      </c>
      <c r="Q14" s="23" t="s">
        <v>49</v>
      </c>
      <c r="R14" s="23">
        <v>65.400000000000006</v>
      </c>
      <c r="S14" s="23">
        <v>65.400000000000006</v>
      </c>
      <c r="T14" s="23">
        <v>72.75</v>
      </c>
      <c r="U14" s="45">
        <f>111.2</f>
        <v>111.2</v>
      </c>
    </row>
    <row r="15" spans="1:21" ht="93.75" customHeight="1" thickBot="1" x14ac:dyDescent="0.25">
      <c r="A15" s="21"/>
      <c r="B15" s="24" t="s">
        <v>55</v>
      </c>
      <c r="C15" s="88" t="s">
        <v>112</v>
      </c>
      <c r="D15" s="88"/>
      <c r="E15" s="88"/>
      <c r="F15" s="88"/>
      <c r="G15" s="88"/>
      <c r="H15" s="88"/>
      <c r="I15" s="88" t="s">
        <v>113</v>
      </c>
      <c r="J15" s="88"/>
      <c r="K15" s="88"/>
      <c r="L15" s="88" t="s">
        <v>114</v>
      </c>
      <c r="M15" s="88"/>
      <c r="N15" s="88"/>
      <c r="O15" s="88"/>
      <c r="P15" s="25" t="s">
        <v>115</v>
      </c>
      <c r="Q15" s="25" t="s">
        <v>49</v>
      </c>
      <c r="R15" s="25">
        <v>100</v>
      </c>
      <c r="S15" s="25">
        <v>100</v>
      </c>
      <c r="T15" s="25">
        <v>100.26</v>
      </c>
      <c r="U15" s="46">
        <f>100.26</f>
        <v>100.26</v>
      </c>
    </row>
    <row r="16" spans="1:21" ht="116.25" customHeight="1" thickTop="1" x14ac:dyDescent="0.2">
      <c r="A16" s="21"/>
      <c r="B16" s="22" t="s">
        <v>61</v>
      </c>
      <c r="C16" s="87" t="s">
        <v>116</v>
      </c>
      <c r="D16" s="87"/>
      <c r="E16" s="87"/>
      <c r="F16" s="87"/>
      <c r="G16" s="87"/>
      <c r="H16" s="87"/>
      <c r="I16" s="87" t="s">
        <v>117</v>
      </c>
      <c r="J16" s="87"/>
      <c r="K16" s="87"/>
      <c r="L16" s="87" t="s">
        <v>118</v>
      </c>
      <c r="M16" s="87"/>
      <c r="N16" s="87"/>
      <c r="O16" s="87"/>
      <c r="P16" s="23" t="s">
        <v>48</v>
      </c>
      <c r="Q16" s="23" t="s">
        <v>66</v>
      </c>
      <c r="R16" s="23">
        <v>24.56</v>
      </c>
      <c r="S16" s="23">
        <v>24.56</v>
      </c>
      <c r="T16" s="23">
        <v>25.84</v>
      </c>
      <c r="U16" s="45">
        <f>105.2</f>
        <v>105.2</v>
      </c>
    </row>
    <row r="17" spans="1:22" ht="75" customHeight="1" x14ac:dyDescent="0.2">
      <c r="A17" s="21"/>
      <c r="B17" s="24" t="s">
        <v>55</v>
      </c>
      <c r="C17" s="88" t="s">
        <v>119</v>
      </c>
      <c r="D17" s="88"/>
      <c r="E17" s="88"/>
      <c r="F17" s="88"/>
      <c r="G17" s="88"/>
      <c r="H17" s="88"/>
      <c r="I17" s="88" t="s">
        <v>120</v>
      </c>
      <c r="J17" s="88"/>
      <c r="K17" s="88"/>
      <c r="L17" s="88" t="s">
        <v>121</v>
      </c>
      <c r="M17" s="88"/>
      <c r="N17" s="88"/>
      <c r="O17" s="88"/>
      <c r="P17" s="25" t="s">
        <v>48</v>
      </c>
      <c r="Q17" s="25" t="s">
        <v>71</v>
      </c>
      <c r="R17" s="25">
        <v>40</v>
      </c>
      <c r="S17" s="25">
        <v>3.76</v>
      </c>
      <c r="T17" s="25">
        <v>4.17</v>
      </c>
      <c r="U17" s="46">
        <f>110.9</f>
        <v>110.9</v>
      </c>
    </row>
    <row r="18" spans="1:22" ht="75" customHeight="1" x14ac:dyDescent="0.2">
      <c r="A18" s="21"/>
      <c r="B18" s="24" t="s">
        <v>55</v>
      </c>
      <c r="C18" s="88" t="s">
        <v>122</v>
      </c>
      <c r="D18" s="88"/>
      <c r="E18" s="88"/>
      <c r="F18" s="88"/>
      <c r="G18" s="88"/>
      <c r="H18" s="88"/>
      <c r="I18" s="88" t="s">
        <v>123</v>
      </c>
      <c r="J18" s="88"/>
      <c r="K18" s="88"/>
      <c r="L18" s="88" t="s">
        <v>124</v>
      </c>
      <c r="M18" s="88"/>
      <c r="N18" s="88"/>
      <c r="O18" s="88"/>
      <c r="P18" s="25" t="s">
        <v>125</v>
      </c>
      <c r="Q18" s="25" t="s">
        <v>71</v>
      </c>
      <c r="R18" s="25">
        <v>100</v>
      </c>
      <c r="S18" s="25">
        <v>100</v>
      </c>
      <c r="T18" s="25">
        <v>100</v>
      </c>
      <c r="U18" s="46">
        <f>100</f>
        <v>100</v>
      </c>
    </row>
    <row r="19" spans="1:22" ht="98.25" customHeight="1" x14ac:dyDescent="0.2">
      <c r="A19" s="21"/>
      <c r="B19" s="24" t="s">
        <v>55</v>
      </c>
      <c r="C19" s="88" t="s">
        <v>126</v>
      </c>
      <c r="D19" s="88"/>
      <c r="E19" s="88"/>
      <c r="F19" s="88"/>
      <c r="G19" s="88"/>
      <c r="H19" s="88"/>
      <c r="I19" s="88" t="s">
        <v>127</v>
      </c>
      <c r="J19" s="88"/>
      <c r="K19" s="88"/>
      <c r="L19" s="88" t="s">
        <v>128</v>
      </c>
      <c r="M19" s="88"/>
      <c r="N19" s="88"/>
      <c r="O19" s="88"/>
      <c r="P19" s="25" t="s">
        <v>129</v>
      </c>
      <c r="Q19" s="25" t="s">
        <v>66</v>
      </c>
      <c r="R19" s="25">
        <v>100</v>
      </c>
      <c r="S19" s="25">
        <v>100</v>
      </c>
      <c r="T19" s="25">
        <v>100</v>
      </c>
      <c r="U19" s="46">
        <f>100</f>
        <v>100</v>
      </c>
    </row>
    <row r="20" spans="1:22" ht="75" customHeight="1" thickBot="1" x14ac:dyDescent="0.25">
      <c r="A20" s="21"/>
      <c r="B20" s="24" t="s">
        <v>55</v>
      </c>
      <c r="C20" s="88" t="s">
        <v>130</v>
      </c>
      <c r="D20" s="88"/>
      <c r="E20" s="88"/>
      <c r="F20" s="88"/>
      <c r="G20" s="88"/>
      <c r="H20" s="88"/>
      <c r="I20" s="88" t="s">
        <v>131</v>
      </c>
      <c r="J20" s="88"/>
      <c r="K20" s="88"/>
      <c r="L20" s="88" t="s">
        <v>132</v>
      </c>
      <c r="M20" s="88"/>
      <c r="N20" s="88"/>
      <c r="O20" s="88"/>
      <c r="P20" s="25" t="s">
        <v>133</v>
      </c>
      <c r="Q20" s="25" t="s">
        <v>134</v>
      </c>
      <c r="R20" s="25">
        <v>13.18</v>
      </c>
      <c r="S20" s="25">
        <v>13.78</v>
      </c>
      <c r="T20" s="25">
        <v>14.27</v>
      </c>
      <c r="U20" s="46">
        <f>103.6</f>
        <v>103.6</v>
      </c>
    </row>
    <row r="21" spans="1:22" ht="14.25" customHeight="1" thickTop="1" thickBot="1" x14ac:dyDescent="0.25">
      <c r="B21" s="4" t="s">
        <v>80</v>
      </c>
      <c r="C21" s="5"/>
      <c r="D21" s="5"/>
      <c r="E21" s="5"/>
      <c r="F21" s="5"/>
      <c r="G21" s="5"/>
      <c r="H21" s="6"/>
      <c r="I21" s="6"/>
      <c r="J21" s="6"/>
      <c r="K21" s="6"/>
      <c r="L21" s="6"/>
      <c r="M21" s="6"/>
      <c r="N21" s="6"/>
      <c r="O21" s="6"/>
      <c r="P21" s="6"/>
      <c r="Q21" s="6"/>
      <c r="R21" s="6"/>
      <c r="S21" s="6"/>
      <c r="T21" s="6"/>
      <c r="U21" s="7"/>
      <c r="V21" s="26"/>
    </row>
    <row r="22" spans="1:22" ht="26.25" customHeight="1" thickTop="1" x14ac:dyDescent="0.2">
      <c r="B22" s="27"/>
      <c r="C22" s="28"/>
      <c r="D22" s="28"/>
      <c r="E22" s="28"/>
      <c r="F22" s="28"/>
      <c r="G22" s="28"/>
      <c r="H22" s="29"/>
      <c r="I22" s="29"/>
      <c r="J22" s="29"/>
      <c r="K22" s="29"/>
      <c r="L22" s="29"/>
      <c r="M22" s="29"/>
      <c r="N22" s="29"/>
      <c r="O22" s="29"/>
      <c r="P22" s="29"/>
      <c r="Q22" s="29"/>
      <c r="R22" s="30"/>
      <c r="S22" s="31" t="s">
        <v>33</v>
      </c>
      <c r="T22" s="31" t="s">
        <v>81</v>
      </c>
      <c r="U22" s="18" t="s">
        <v>82</v>
      </c>
    </row>
    <row r="23" spans="1:22" ht="26.25" customHeight="1" thickBot="1" x14ac:dyDescent="0.25">
      <c r="B23" s="32"/>
      <c r="C23" s="33"/>
      <c r="D23" s="33"/>
      <c r="E23" s="33"/>
      <c r="F23" s="33"/>
      <c r="G23" s="33"/>
      <c r="H23" s="34"/>
      <c r="I23" s="34"/>
      <c r="J23" s="34"/>
      <c r="K23" s="34"/>
      <c r="L23" s="34"/>
      <c r="M23" s="34"/>
      <c r="N23" s="34"/>
      <c r="O23" s="34"/>
      <c r="P23" s="34"/>
      <c r="Q23" s="34"/>
      <c r="R23" s="34"/>
      <c r="S23" s="35" t="s">
        <v>83</v>
      </c>
      <c r="T23" s="36" t="s">
        <v>83</v>
      </c>
      <c r="U23" s="36" t="s">
        <v>84</v>
      </c>
    </row>
    <row r="24" spans="1:22" ht="13.5" customHeight="1" thickBot="1" x14ac:dyDescent="0.25">
      <c r="B24" s="92" t="s">
        <v>85</v>
      </c>
      <c r="C24" s="93"/>
      <c r="D24" s="93"/>
      <c r="E24" s="37"/>
      <c r="F24" s="37"/>
      <c r="G24" s="37"/>
      <c r="H24" s="38"/>
      <c r="I24" s="38"/>
      <c r="J24" s="38"/>
      <c r="K24" s="38"/>
      <c r="L24" s="38"/>
      <c r="M24" s="38"/>
      <c r="N24" s="38"/>
      <c r="O24" s="38"/>
      <c r="P24" s="39"/>
      <c r="Q24" s="39"/>
      <c r="R24" s="39"/>
      <c r="S24" s="48">
        <v>23766.068573</v>
      </c>
      <c r="T24" s="48">
        <v>26249.221616489998</v>
      </c>
      <c r="U24" s="49">
        <f>+IF(ISERR(T24/S24*100),"N/A",ROUND(T24/S24*100,1))</f>
        <v>110.4</v>
      </c>
    </row>
    <row r="25" spans="1:22" ht="13.5" customHeight="1" thickBot="1" x14ac:dyDescent="0.25">
      <c r="B25" s="94" t="s">
        <v>86</v>
      </c>
      <c r="C25" s="95"/>
      <c r="D25" s="95"/>
      <c r="E25" s="40"/>
      <c r="F25" s="40"/>
      <c r="G25" s="40"/>
      <c r="H25" s="41"/>
      <c r="I25" s="41"/>
      <c r="J25" s="41"/>
      <c r="K25" s="41"/>
      <c r="L25" s="41"/>
      <c r="M25" s="41"/>
      <c r="N25" s="41"/>
      <c r="O25" s="41"/>
      <c r="P25" s="42"/>
      <c r="Q25" s="42"/>
      <c r="R25" s="42"/>
      <c r="S25" s="48">
        <v>26249.358228310004</v>
      </c>
      <c r="T25" s="48">
        <v>26249.221616489998</v>
      </c>
      <c r="U25" s="49">
        <f>+IF(ISERR(T25/S25*100),"N/A",ROUND(T25/S25*100,1))</f>
        <v>100</v>
      </c>
    </row>
    <row r="26" spans="1:22" ht="14.85" customHeight="1" thickTop="1" thickBot="1" x14ac:dyDescent="0.25">
      <c r="B26" s="4" t="s">
        <v>87</v>
      </c>
      <c r="C26" s="5"/>
      <c r="D26" s="5"/>
      <c r="E26" s="5"/>
      <c r="F26" s="5"/>
      <c r="G26" s="5"/>
      <c r="H26" s="6"/>
      <c r="I26" s="6"/>
      <c r="J26" s="6"/>
      <c r="K26" s="6"/>
      <c r="L26" s="6"/>
      <c r="M26" s="6"/>
      <c r="N26" s="6"/>
      <c r="O26" s="6"/>
      <c r="P26" s="6"/>
      <c r="Q26" s="6"/>
      <c r="R26" s="6"/>
      <c r="S26" s="6"/>
      <c r="T26" s="6"/>
      <c r="U26" s="7"/>
    </row>
    <row r="27" spans="1:22" ht="44.25" customHeight="1" thickTop="1" x14ac:dyDescent="0.2">
      <c r="B27" s="89" t="s">
        <v>88</v>
      </c>
      <c r="C27" s="90"/>
      <c r="D27" s="90"/>
      <c r="E27" s="90"/>
      <c r="F27" s="90"/>
      <c r="G27" s="90"/>
      <c r="H27" s="90"/>
      <c r="I27" s="90"/>
      <c r="J27" s="90"/>
      <c r="K27" s="90"/>
      <c r="L27" s="90"/>
      <c r="M27" s="90"/>
      <c r="N27" s="90"/>
      <c r="O27" s="90"/>
      <c r="P27" s="90"/>
      <c r="Q27" s="90"/>
      <c r="R27" s="90"/>
      <c r="S27" s="90"/>
      <c r="T27" s="90"/>
      <c r="U27" s="91"/>
    </row>
    <row r="28" spans="1:22" ht="243.75" customHeight="1" x14ac:dyDescent="0.2">
      <c r="B28" s="96" t="s">
        <v>135</v>
      </c>
      <c r="C28" s="97"/>
      <c r="D28" s="97"/>
      <c r="E28" s="97"/>
      <c r="F28" s="97"/>
      <c r="G28" s="97"/>
      <c r="H28" s="97"/>
      <c r="I28" s="97"/>
      <c r="J28" s="97"/>
      <c r="K28" s="97"/>
      <c r="L28" s="97"/>
      <c r="M28" s="97"/>
      <c r="N28" s="97"/>
      <c r="O28" s="97"/>
      <c r="P28" s="97"/>
      <c r="Q28" s="97"/>
      <c r="R28" s="97"/>
      <c r="S28" s="97"/>
      <c r="T28" s="97"/>
      <c r="U28" s="98"/>
    </row>
    <row r="29" spans="1:22" ht="151.35" customHeight="1" x14ac:dyDescent="0.2">
      <c r="B29" s="96" t="s">
        <v>136</v>
      </c>
      <c r="C29" s="97"/>
      <c r="D29" s="97"/>
      <c r="E29" s="97"/>
      <c r="F29" s="97"/>
      <c r="G29" s="97"/>
      <c r="H29" s="97"/>
      <c r="I29" s="97"/>
      <c r="J29" s="97"/>
      <c r="K29" s="97"/>
      <c r="L29" s="97"/>
      <c r="M29" s="97"/>
      <c r="N29" s="97"/>
      <c r="O29" s="97"/>
      <c r="P29" s="97"/>
      <c r="Q29" s="97"/>
      <c r="R29" s="97"/>
      <c r="S29" s="97"/>
      <c r="T29" s="97"/>
      <c r="U29" s="98"/>
    </row>
    <row r="30" spans="1:22" ht="290.85000000000002" customHeight="1" x14ac:dyDescent="0.2">
      <c r="B30" s="96" t="s">
        <v>137</v>
      </c>
      <c r="C30" s="97"/>
      <c r="D30" s="97"/>
      <c r="E30" s="97"/>
      <c r="F30" s="97"/>
      <c r="G30" s="97"/>
      <c r="H30" s="97"/>
      <c r="I30" s="97"/>
      <c r="J30" s="97"/>
      <c r="K30" s="97"/>
      <c r="L30" s="97"/>
      <c r="M30" s="97"/>
      <c r="N30" s="97"/>
      <c r="O30" s="97"/>
      <c r="P30" s="97"/>
      <c r="Q30" s="97"/>
      <c r="R30" s="97"/>
      <c r="S30" s="97"/>
      <c r="T30" s="97"/>
      <c r="U30" s="98"/>
    </row>
    <row r="31" spans="1:22" ht="144.19999999999999" customHeight="1" x14ac:dyDescent="0.2">
      <c r="B31" s="96" t="s">
        <v>138</v>
      </c>
      <c r="C31" s="97"/>
      <c r="D31" s="97"/>
      <c r="E31" s="97"/>
      <c r="F31" s="97"/>
      <c r="G31" s="97"/>
      <c r="H31" s="97"/>
      <c r="I31" s="97"/>
      <c r="J31" s="97"/>
      <c r="K31" s="97"/>
      <c r="L31" s="97"/>
      <c r="M31" s="97"/>
      <c r="N31" s="97"/>
      <c r="O31" s="97"/>
      <c r="P31" s="97"/>
      <c r="Q31" s="97"/>
      <c r="R31" s="97"/>
      <c r="S31" s="97"/>
      <c r="T31" s="97"/>
      <c r="U31" s="98"/>
    </row>
    <row r="32" spans="1:22" ht="171.95" customHeight="1" x14ac:dyDescent="0.2">
      <c r="B32" s="96" t="s">
        <v>139</v>
      </c>
      <c r="C32" s="97"/>
      <c r="D32" s="97"/>
      <c r="E32" s="97"/>
      <c r="F32" s="97"/>
      <c r="G32" s="97"/>
      <c r="H32" s="97"/>
      <c r="I32" s="97"/>
      <c r="J32" s="97"/>
      <c r="K32" s="97"/>
      <c r="L32" s="97"/>
      <c r="M32" s="97"/>
      <c r="N32" s="97"/>
      <c r="O32" s="97"/>
      <c r="P32" s="97"/>
      <c r="Q32" s="97"/>
      <c r="R32" s="97"/>
      <c r="S32" s="97"/>
      <c r="T32" s="97"/>
      <c r="U32" s="98"/>
    </row>
    <row r="33" spans="2:21" ht="121.7" customHeight="1" x14ac:dyDescent="0.2">
      <c r="B33" s="96" t="s">
        <v>140</v>
      </c>
      <c r="C33" s="97"/>
      <c r="D33" s="97"/>
      <c r="E33" s="97"/>
      <c r="F33" s="97"/>
      <c r="G33" s="97"/>
      <c r="H33" s="97"/>
      <c r="I33" s="97"/>
      <c r="J33" s="97"/>
      <c r="K33" s="97"/>
      <c r="L33" s="97"/>
      <c r="M33" s="97"/>
      <c r="N33" s="97"/>
      <c r="O33" s="97"/>
      <c r="P33" s="97"/>
      <c r="Q33" s="97"/>
      <c r="R33" s="97"/>
      <c r="S33" s="97"/>
      <c r="T33" s="97"/>
      <c r="U33" s="98"/>
    </row>
    <row r="34" spans="2:21" ht="143.25" customHeight="1" x14ac:dyDescent="0.2">
      <c r="B34" s="96" t="s">
        <v>141</v>
      </c>
      <c r="C34" s="97"/>
      <c r="D34" s="97"/>
      <c r="E34" s="97"/>
      <c r="F34" s="97"/>
      <c r="G34" s="97"/>
      <c r="H34" s="97"/>
      <c r="I34" s="97"/>
      <c r="J34" s="97"/>
      <c r="K34" s="97"/>
      <c r="L34" s="97"/>
      <c r="M34" s="97"/>
      <c r="N34" s="97"/>
      <c r="O34" s="97"/>
      <c r="P34" s="97"/>
      <c r="Q34" s="97"/>
      <c r="R34" s="97"/>
      <c r="S34" s="97"/>
      <c r="T34" s="97"/>
      <c r="U34" s="98"/>
    </row>
    <row r="35" spans="2:21" ht="58.5" customHeight="1" x14ac:dyDescent="0.2">
      <c r="B35" s="96" t="s">
        <v>142</v>
      </c>
      <c r="C35" s="97"/>
      <c r="D35" s="97"/>
      <c r="E35" s="97"/>
      <c r="F35" s="97"/>
      <c r="G35" s="97"/>
      <c r="H35" s="97"/>
      <c r="I35" s="97"/>
      <c r="J35" s="97"/>
      <c r="K35" s="97"/>
      <c r="L35" s="97"/>
      <c r="M35" s="97"/>
      <c r="N35" s="97"/>
      <c r="O35" s="97"/>
      <c r="P35" s="97"/>
      <c r="Q35" s="97"/>
      <c r="R35" s="97"/>
      <c r="S35" s="97"/>
      <c r="T35" s="97"/>
      <c r="U35" s="98"/>
    </row>
    <row r="36" spans="2:21" ht="161.25" customHeight="1" x14ac:dyDescent="0.2">
      <c r="B36" s="96" t="s">
        <v>143</v>
      </c>
      <c r="C36" s="97"/>
      <c r="D36" s="97"/>
      <c r="E36" s="97"/>
      <c r="F36" s="97"/>
      <c r="G36" s="97"/>
      <c r="H36" s="97"/>
      <c r="I36" s="97"/>
      <c r="J36" s="97"/>
      <c r="K36" s="97"/>
      <c r="L36" s="97"/>
      <c r="M36" s="97"/>
      <c r="N36" s="97"/>
      <c r="O36" s="97"/>
      <c r="P36" s="97"/>
      <c r="Q36" s="97"/>
      <c r="R36" s="97"/>
      <c r="S36" s="97"/>
      <c r="T36" s="97"/>
      <c r="U36" s="98"/>
    </row>
    <row r="37" spans="2:21" ht="125.45" customHeight="1" thickBot="1" x14ac:dyDescent="0.25">
      <c r="B37" s="99" t="s">
        <v>144</v>
      </c>
      <c r="C37" s="100"/>
      <c r="D37" s="100"/>
      <c r="E37" s="100"/>
      <c r="F37" s="100"/>
      <c r="G37" s="100"/>
      <c r="H37" s="100"/>
      <c r="I37" s="100"/>
      <c r="J37" s="100"/>
      <c r="K37" s="100"/>
      <c r="L37" s="100"/>
      <c r="M37" s="100"/>
      <c r="N37" s="100"/>
      <c r="O37" s="100"/>
      <c r="P37" s="100"/>
      <c r="Q37" s="100"/>
      <c r="R37" s="100"/>
      <c r="S37" s="100"/>
      <c r="T37" s="100"/>
      <c r="U37" s="101"/>
    </row>
  </sheetData>
  <mergeCells count="64">
    <mergeCell ref="B34:U34"/>
    <mergeCell ref="B35:U35"/>
    <mergeCell ref="B36:U36"/>
    <mergeCell ref="B37:U37"/>
    <mergeCell ref="B28:U28"/>
    <mergeCell ref="B29:U29"/>
    <mergeCell ref="B30:U30"/>
    <mergeCell ref="B31:U31"/>
    <mergeCell ref="B32:U32"/>
    <mergeCell ref="B33:U33"/>
    <mergeCell ref="B27:U27"/>
    <mergeCell ref="C18:H18"/>
    <mergeCell ref="I18:K18"/>
    <mergeCell ref="L18:O18"/>
    <mergeCell ref="C19:H19"/>
    <mergeCell ref="I19:K19"/>
    <mergeCell ref="L19:O19"/>
    <mergeCell ref="C20:H20"/>
    <mergeCell ref="I20:K20"/>
    <mergeCell ref="L20:O20"/>
    <mergeCell ref="B24:D24"/>
    <mergeCell ref="B25:D25"/>
    <mergeCell ref="C16:H16"/>
    <mergeCell ref="I16:K16"/>
    <mergeCell ref="L16:O16"/>
    <mergeCell ref="C17:H17"/>
    <mergeCell ref="I17:K17"/>
    <mergeCell ref="L17:O17"/>
    <mergeCell ref="C14:H14"/>
    <mergeCell ref="I14:K14"/>
    <mergeCell ref="L14:O14"/>
    <mergeCell ref="C15:H15"/>
    <mergeCell ref="I15:K15"/>
    <mergeCell ref="L15:O15"/>
    <mergeCell ref="C12:H12"/>
    <mergeCell ref="I12:K12"/>
    <mergeCell ref="L12:O12"/>
    <mergeCell ref="C13:H13"/>
    <mergeCell ref="I13:K13"/>
    <mergeCell ref="L13:O13"/>
    <mergeCell ref="C11:H11"/>
    <mergeCell ref="I11:K11"/>
    <mergeCell ref="L11:O11"/>
    <mergeCell ref="C6:G6"/>
    <mergeCell ref="K6:M6"/>
    <mergeCell ref="P6:Q6"/>
    <mergeCell ref="T6:U6"/>
    <mergeCell ref="B8:B10"/>
    <mergeCell ref="C8:H10"/>
    <mergeCell ref="I8:S8"/>
    <mergeCell ref="T8:U8"/>
    <mergeCell ref="I9:K10"/>
    <mergeCell ref="L9:O10"/>
    <mergeCell ref="P9:P10"/>
    <mergeCell ref="Q9:Q10"/>
    <mergeCell ref="R9:S9"/>
    <mergeCell ref="T9:T10"/>
    <mergeCell ref="U9:U10"/>
    <mergeCell ref="B5:U5"/>
    <mergeCell ref="B1:L1"/>
    <mergeCell ref="D4:H4"/>
    <mergeCell ref="L4:O4"/>
    <mergeCell ref="Q4:R4"/>
    <mergeCell ref="T4:U4"/>
  </mergeCells>
  <printOptions horizontalCentered="1"/>
  <pageMargins left="0.78740157480314965" right="0.78740157480314965" top="0.98425196850393704" bottom="0.98425196850393704" header="0" footer="0.39370078740157483"/>
  <pageSetup scale="61" fitToHeight="10" orientation="landscape" r:id="rId1"/>
  <headerFooter>
    <oddFooter>&amp;R&amp;P de &amp;N</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35"/>
  <sheetViews>
    <sheetView view="pageBreakPreview" topLeftCell="A7" zoomScale="80" zoomScaleNormal="80" zoomScaleSheetLayoutView="80" workbookViewId="0">
      <selection activeCell="R13" sqref="R13:U13"/>
    </sheetView>
  </sheetViews>
  <sheetFormatPr baseColWidth="10" defaultColWidth="10" defaultRowHeight="12.75" x14ac:dyDescent="0.2"/>
  <cols>
    <col min="1" max="1" width="3.5" style="1" customWidth="1"/>
    <col min="2" max="2" width="14.7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9.625" style="1" customWidth="1"/>
    <col min="19" max="19" width="13" style="1" customWidth="1"/>
    <col min="20" max="20" width="10.75" style="1" customWidth="1"/>
    <col min="21" max="21" width="11.37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50" t="s">
        <v>0</v>
      </c>
      <c r="C1" s="50"/>
      <c r="D1" s="50"/>
      <c r="E1" s="50"/>
      <c r="F1" s="50"/>
      <c r="G1" s="50"/>
      <c r="H1" s="50"/>
      <c r="I1" s="50"/>
      <c r="J1" s="50"/>
      <c r="K1" s="50"/>
      <c r="L1" s="50"/>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51.75" customHeight="1" thickTop="1" x14ac:dyDescent="0.2">
      <c r="B4" s="8" t="s">
        <v>6</v>
      </c>
      <c r="C4" s="9" t="s">
        <v>1328</v>
      </c>
      <c r="D4" s="57" t="s">
        <v>1329</v>
      </c>
      <c r="E4" s="57"/>
      <c r="F4" s="57"/>
      <c r="G4" s="57"/>
      <c r="H4" s="57"/>
      <c r="I4" s="10"/>
      <c r="J4" s="11" t="s">
        <v>9</v>
      </c>
      <c r="K4" s="12" t="s">
        <v>10</v>
      </c>
      <c r="L4" s="58" t="s">
        <v>11</v>
      </c>
      <c r="M4" s="58"/>
      <c r="N4" s="58"/>
      <c r="O4" s="58"/>
      <c r="P4" s="11" t="s">
        <v>12</v>
      </c>
      <c r="Q4" s="58" t="s">
        <v>585</v>
      </c>
      <c r="R4" s="58"/>
      <c r="S4" s="11" t="s">
        <v>14</v>
      </c>
      <c r="T4" s="58" t="s">
        <v>1330</v>
      </c>
      <c r="U4" s="59"/>
    </row>
    <row r="5" spans="1:21" ht="15.75" customHeight="1" x14ac:dyDescent="0.2">
      <c r="B5" s="54" t="s">
        <v>15</v>
      </c>
      <c r="C5" s="55"/>
      <c r="D5" s="55"/>
      <c r="E5" s="55"/>
      <c r="F5" s="55"/>
      <c r="G5" s="55"/>
      <c r="H5" s="55"/>
      <c r="I5" s="55"/>
      <c r="J5" s="55"/>
      <c r="K5" s="55"/>
      <c r="L5" s="55"/>
      <c r="M5" s="55"/>
      <c r="N5" s="55"/>
      <c r="O5" s="55"/>
      <c r="P5" s="55"/>
      <c r="Q5" s="55"/>
      <c r="R5" s="55"/>
      <c r="S5" s="55"/>
      <c r="T5" s="55"/>
      <c r="U5" s="56"/>
    </row>
    <row r="6" spans="1:21" ht="37.5" customHeight="1" thickBot="1" x14ac:dyDescent="0.25">
      <c r="B6" s="13" t="s">
        <v>16</v>
      </c>
      <c r="C6" s="60" t="s">
        <v>17</v>
      </c>
      <c r="D6" s="60"/>
      <c r="E6" s="60"/>
      <c r="F6" s="60"/>
      <c r="G6" s="60"/>
      <c r="H6" s="14"/>
      <c r="I6" s="14"/>
      <c r="J6" s="14" t="s">
        <v>18</v>
      </c>
      <c r="K6" s="60" t="s">
        <v>19</v>
      </c>
      <c r="L6" s="60"/>
      <c r="M6" s="60"/>
      <c r="N6" s="15"/>
      <c r="O6" s="16" t="s">
        <v>20</v>
      </c>
      <c r="P6" s="60" t="s">
        <v>524</v>
      </c>
      <c r="Q6" s="60"/>
      <c r="R6" s="17"/>
      <c r="S6" s="16" t="s">
        <v>22</v>
      </c>
      <c r="T6" s="60" t="s">
        <v>586</v>
      </c>
      <c r="U6" s="61"/>
    </row>
    <row r="7" spans="1:21" ht="14.25" customHeight="1" thickTop="1" thickBot="1" x14ac:dyDescent="0.25">
      <c r="B7" s="4" t="s">
        <v>24</v>
      </c>
      <c r="C7" s="5"/>
      <c r="D7" s="5"/>
      <c r="E7" s="5"/>
      <c r="F7" s="5"/>
      <c r="G7" s="5"/>
      <c r="H7" s="6"/>
      <c r="I7" s="6"/>
      <c r="J7" s="6"/>
      <c r="K7" s="6"/>
      <c r="L7" s="6"/>
      <c r="M7" s="6"/>
      <c r="N7" s="6"/>
      <c r="O7" s="6"/>
      <c r="P7" s="6"/>
      <c r="Q7" s="6"/>
      <c r="R7" s="6"/>
      <c r="S7" s="6"/>
      <c r="T7" s="6"/>
      <c r="U7" s="7"/>
    </row>
    <row r="8" spans="1:21" ht="16.5" customHeight="1" thickTop="1" x14ac:dyDescent="0.2">
      <c r="B8" s="62" t="s">
        <v>25</v>
      </c>
      <c r="C8" s="65" t="s">
        <v>26</v>
      </c>
      <c r="D8" s="66"/>
      <c r="E8" s="66"/>
      <c r="F8" s="66"/>
      <c r="G8" s="66"/>
      <c r="H8" s="67"/>
      <c r="I8" s="74" t="s">
        <v>27</v>
      </c>
      <c r="J8" s="75"/>
      <c r="K8" s="75"/>
      <c r="L8" s="75"/>
      <c r="M8" s="75"/>
      <c r="N8" s="75"/>
      <c r="O8" s="75"/>
      <c r="P8" s="75"/>
      <c r="Q8" s="75"/>
      <c r="R8" s="75"/>
      <c r="S8" s="76"/>
      <c r="T8" s="77" t="s">
        <v>28</v>
      </c>
      <c r="U8" s="78"/>
    </row>
    <row r="9" spans="1:21" ht="19.5" customHeight="1" x14ac:dyDescent="0.2">
      <c r="B9" s="63"/>
      <c r="C9" s="68"/>
      <c r="D9" s="69"/>
      <c r="E9" s="69"/>
      <c r="F9" s="69"/>
      <c r="G9" s="69"/>
      <c r="H9" s="70"/>
      <c r="I9" s="79" t="s">
        <v>29</v>
      </c>
      <c r="J9" s="80"/>
      <c r="K9" s="80"/>
      <c r="L9" s="80" t="s">
        <v>30</v>
      </c>
      <c r="M9" s="80"/>
      <c r="N9" s="80"/>
      <c r="O9" s="80"/>
      <c r="P9" s="80" t="s">
        <v>31</v>
      </c>
      <c r="Q9" s="80" t="s">
        <v>32</v>
      </c>
      <c r="R9" s="83" t="s">
        <v>33</v>
      </c>
      <c r="S9" s="84"/>
      <c r="T9" s="80" t="s">
        <v>34</v>
      </c>
      <c r="U9" s="85" t="s">
        <v>35</v>
      </c>
    </row>
    <row r="10" spans="1:21" ht="26.25" customHeight="1" thickBot="1" x14ac:dyDescent="0.25">
      <c r="B10" s="64"/>
      <c r="C10" s="71"/>
      <c r="D10" s="72"/>
      <c r="E10" s="72"/>
      <c r="F10" s="72"/>
      <c r="G10" s="72"/>
      <c r="H10" s="73"/>
      <c r="I10" s="81"/>
      <c r="J10" s="82"/>
      <c r="K10" s="82"/>
      <c r="L10" s="82"/>
      <c r="M10" s="82"/>
      <c r="N10" s="82"/>
      <c r="O10" s="82"/>
      <c r="P10" s="82"/>
      <c r="Q10" s="82"/>
      <c r="R10" s="19" t="s">
        <v>36</v>
      </c>
      <c r="S10" s="20" t="s">
        <v>37</v>
      </c>
      <c r="T10" s="82"/>
      <c r="U10" s="86"/>
    </row>
    <row r="11" spans="1:21" ht="75" customHeight="1" thickTop="1" thickBot="1" x14ac:dyDescent="0.25">
      <c r="A11" s="21"/>
      <c r="B11" s="22" t="s">
        <v>38</v>
      </c>
      <c r="C11" s="87" t="s">
        <v>1331</v>
      </c>
      <c r="D11" s="87"/>
      <c r="E11" s="87"/>
      <c r="F11" s="87"/>
      <c r="G11" s="87"/>
      <c r="H11" s="87"/>
      <c r="I11" s="87" t="s">
        <v>1332</v>
      </c>
      <c r="J11" s="87"/>
      <c r="K11" s="87"/>
      <c r="L11" s="87" t="s">
        <v>1333</v>
      </c>
      <c r="M11" s="87"/>
      <c r="N11" s="87"/>
      <c r="O11" s="87"/>
      <c r="P11" s="23" t="s">
        <v>48</v>
      </c>
      <c r="Q11" s="23" t="s">
        <v>43</v>
      </c>
      <c r="R11" s="23">
        <v>0.17</v>
      </c>
      <c r="S11" s="23">
        <v>0.17</v>
      </c>
      <c r="T11" s="23">
        <v>0</v>
      </c>
      <c r="U11" s="45">
        <f>0</f>
        <v>0</v>
      </c>
    </row>
    <row r="12" spans="1:21" ht="139.5" customHeight="1" thickTop="1" x14ac:dyDescent="0.2">
      <c r="A12" s="21"/>
      <c r="B12" s="22" t="s">
        <v>44</v>
      </c>
      <c r="C12" s="87" t="s">
        <v>1334</v>
      </c>
      <c r="D12" s="87"/>
      <c r="E12" s="87"/>
      <c r="F12" s="87"/>
      <c r="G12" s="87"/>
      <c r="H12" s="87"/>
      <c r="I12" s="87" t="s">
        <v>1335</v>
      </c>
      <c r="J12" s="87"/>
      <c r="K12" s="87"/>
      <c r="L12" s="87" t="s">
        <v>1336</v>
      </c>
      <c r="M12" s="87"/>
      <c r="N12" s="87"/>
      <c r="O12" s="87"/>
      <c r="P12" s="23" t="s">
        <v>1337</v>
      </c>
      <c r="Q12" s="23" t="s">
        <v>43</v>
      </c>
      <c r="R12" s="44">
        <v>15</v>
      </c>
      <c r="S12" s="44">
        <v>15</v>
      </c>
      <c r="T12" s="44">
        <v>78.69</v>
      </c>
      <c r="U12" s="45">
        <v>102.9</v>
      </c>
    </row>
    <row r="13" spans="1:21" ht="136.5" customHeight="1" thickBot="1" x14ac:dyDescent="0.25">
      <c r="A13" s="21"/>
      <c r="B13" s="24" t="s">
        <v>55</v>
      </c>
      <c r="C13" s="88" t="s">
        <v>55</v>
      </c>
      <c r="D13" s="88"/>
      <c r="E13" s="88"/>
      <c r="F13" s="88"/>
      <c r="G13" s="88"/>
      <c r="H13" s="88"/>
      <c r="I13" s="88" t="s">
        <v>1338</v>
      </c>
      <c r="J13" s="88"/>
      <c r="K13" s="88"/>
      <c r="L13" s="88" t="s">
        <v>1339</v>
      </c>
      <c r="M13" s="88"/>
      <c r="N13" s="88"/>
      <c r="O13" s="88"/>
      <c r="P13" s="25" t="s">
        <v>48</v>
      </c>
      <c r="Q13" s="25" t="s">
        <v>43</v>
      </c>
      <c r="R13" s="25">
        <v>36.29</v>
      </c>
      <c r="S13" s="25">
        <v>36.29</v>
      </c>
      <c r="T13" s="25">
        <v>38.92</v>
      </c>
      <c r="U13" s="46">
        <f>107.25</f>
        <v>107.25</v>
      </c>
    </row>
    <row r="14" spans="1:21" ht="75" customHeight="1" thickTop="1" x14ac:dyDescent="0.2">
      <c r="A14" s="21"/>
      <c r="B14" s="22" t="s">
        <v>50</v>
      </c>
      <c r="C14" s="87" t="s">
        <v>1340</v>
      </c>
      <c r="D14" s="87"/>
      <c r="E14" s="87"/>
      <c r="F14" s="87"/>
      <c r="G14" s="87"/>
      <c r="H14" s="87"/>
      <c r="I14" s="87" t="s">
        <v>1341</v>
      </c>
      <c r="J14" s="87"/>
      <c r="K14" s="87"/>
      <c r="L14" s="87" t="s">
        <v>1342</v>
      </c>
      <c r="M14" s="87"/>
      <c r="N14" s="87"/>
      <c r="O14" s="87"/>
      <c r="P14" s="23" t="s">
        <v>1343</v>
      </c>
      <c r="Q14" s="23" t="s">
        <v>43</v>
      </c>
      <c r="R14" s="44">
        <v>1278</v>
      </c>
      <c r="S14" s="44">
        <v>1278</v>
      </c>
      <c r="T14" s="44">
        <v>3892</v>
      </c>
      <c r="U14" s="45">
        <f>304.5</f>
        <v>304.5</v>
      </c>
    </row>
    <row r="15" spans="1:21" ht="131.25" customHeight="1" thickBot="1" x14ac:dyDescent="0.25">
      <c r="A15" s="21"/>
      <c r="B15" s="24" t="s">
        <v>55</v>
      </c>
      <c r="C15" s="88" t="s">
        <v>1344</v>
      </c>
      <c r="D15" s="88"/>
      <c r="E15" s="88"/>
      <c r="F15" s="88"/>
      <c r="G15" s="88"/>
      <c r="H15" s="88"/>
      <c r="I15" s="88" t="s">
        <v>1345</v>
      </c>
      <c r="J15" s="88"/>
      <c r="K15" s="88"/>
      <c r="L15" s="88" t="s">
        <v>1346</v>
      </c>
      <c r="M15" s="88"/>
      <c r="N15" s="88"/>
      <c r="O15" s="88"/>
      <c r="P15" s="25" t="s">
        <v>48</v>
      </c>
      <c r="Q15" s="25" t="s">
        <v>71</v>
      </c>
      <c r="R15" s="25">
        <v>50</v>
      </c>
      <c r="S15" s="25">
        <v>50</v>
      </c>
      <c r="T15" s="25">
        <v>0</v>
      </c>
      <c r="U15" s="46">
        <f>0</f>
        <v>0</v>
      </c>
    </row>
    <row r="16" spans="1:21" ht="75" customHeight="1" thickTop="1" x14ac:dyDescent="0.2">
      <c r="A16" s="21"/>
      <c r="B16" s="22" t="s">
        <v>61</v>
      </c>
      <c r="C16" s="87" t="s">
        <v>1347</v>
      </c>
      <c r="D16" s="87"/>
      <c r="E16" s="87"/>
      <c r="F16" s="87"/>
      <c r="G16" s="87"/>
      <c r="H16" s="87"/>
      <c r="I16" s="87" t="s">
        <v>1348</v>
      </c>
      <c r="J16" s="87"/>
      <c r="K16" s="87"/>
      <c r="L16" s="87" t="s">
        <v>1349</v>
      </c>
      <c r="M16" s="87"/>
      <c r="N16" s="87"/>
      <c r="O16" s="87"/>
      <c r="P16" s="23" t="s">
        <v>48</v>
      </c>
      <c r="Q16" s="23" t="s">
        <v>999</v>
      </c>
      <c r="R16" s="23">
        <v>100</v>
      </c>
      <c r="S16" s="23">
        <v>100</v>
      </c>
      <c r="T16" s="23">
        <v>100</v>
      </c>
      <c r="U16" s="45">
        <f>100</f>
        <v>100</v>
      </c>
    </row>
    <row r="17" spans="1:22" ht="99.75" customHeight="1" x14ac:dyDescent="0.2">
      <c r="A17" s="21"/>
      <c r="B17" s="24" t="s">
        <v>55</v>
      </c>
      <c r="C17" s="88" t="s">
        <v>1350</v>
      </c>
      <c r="D17" s="88"/>
      <c r="E17" s="88"/>
      <c r="F17" s="88"/>
      <c r="G17" s="88"/>
      <c r="H17" s="88"/>
      <c r="I17" s="88" t="s">
        <v>1351</v>
      </c>
      <c r="J17" s="88"/>
      <c r="K17" s="88"/>
      <c r="L17" s="88" t="s">
        <v>1352</v>
      </c>
      <c r="M17" s="88"/>
      <c r="N17" s="88"/>
      <c r="O17" s="88"/>
      <c r="P17" s="25" t="s">
        <v>1353</v>
      </c>
      <c r="Q17" s="25" t="s">
        <v>71</v>
      </c>
      <c r="R17" s="43">
        <v>1</v>
      </c>
      <c r="S17" s="43">
        <v>1</v>
      </c>
      <c r="T17" s="43">
        <v>0</v>
      </c>
      <c r="U17" s="46">
        <f>0</f>
        <v>0</v>
      </c>
    </row>
    <row r="18" spans="1:22" ht="75" customHeight="1" x14ac:dyDescent="0.2">
      <c r="A18" s="21"/>
      <c r="B18" s="24" t="s">
        <v>55</v>
      </c>
      <c r="C18" s="88" t="s">
        <v>1354</v>
      </c>
      <c r="D18" s="88"/>
      <c r="E18" s="88"/>
      <c r="F18" s="88"/>
      <c r="G18" s="88"/>
      <c r="H18" s="88"/>
      <c r="I18" s="88" t="s">
        <v>1355</v>
      </c>
      <c r="J18" s="88"/>
      <c r="K18" s="88"/>
      <c r="L18" s="88" t="s">
        <v>1356</v>
      </c>
      <c r="M18" s="88"/>
      <c r="N18" s="88"/>
      <c r="O18" s="88"/>
      <c r="P18" s="25" t="s">
        <v>48</v>
      </c>
      <c r="Q18" s="25" t="s">
        <v>71</v>
      </c>
      <c r="R18" s="25">
        <v>85.2</v>
      </c>
      <c r="S18" s="25">
        <v>85.2</v>
      </c>
      <c r="T18" s="25">
        <v>73.400000000000006</v>
      </c>
      <c r="U18" s="46">
        <f>86.2</f>
        <v>86.2</v>
      </c>
    </row>
    <row r="19" spans="1:22" ht="75" customHeight="1" thickBot="1" x14ac:dyDescent="0.25">
      <c r="A19" s="21"/>
      <c r="B19" s="24" t="s">
        <v>55</v>
      </c>
      <c r="C19" s="88" t="s">
        <v>1357</v>
      </c>
      <c r="D19" s="88"/>
      <c r="E19" s="88"/>
      <c r="F19" s="88"/>
      <c r="G19" s="88"/>
      <c r="H19" s="88"/>
      <c r="I19" s="88" t="s">
        <v>1358</v>
      </c>
      <c r="J19" s="88"/>
      <c r="K19" s="88"/>
      <c r="L19" s="88" t="s">
        <v>1359</v>
      </c>
      <c r="M19" s="88"/>
      <c r="N19" s="88"/>
      <c r="O19" s="88"/>
      <c r="P19" s="25" t="s">
        <v>1360</v>
      </c>
      <c r="Q19" s="25" t="s">
        <v>71</v>
      </c>
      <c r="R19" s="43">
        <v>1</v>
      </c>
      <c r="S19" s="43">
        <v>1</v>
      </c>
      <c r="T19" s="43">
        <v>2</v>
      </c>
      <c r="U19" s="46">
        <f>200</f>
        <v>200</v>
      </c>
    </row>
    <row r="20" spans="1:22" ht="14.25" customHeight="1" thickTop="1" thickBot="1" x14ac:dyDescent="0.25">
      <c r="B20" s="4" t="s">
        <v>80</v>
      </c>
      <c r="C20" s="5"/>
      <c r="D20" s="5"/>
      <c r="E20" s="5"/>
      <c r="F20" s="5"/>
      <c r="G20" s="5"/>
      <c r="H20" s="6"/>
      <c r="I20" s="6"/>
      <c r="J20" s="6"/>
      <c r="K20" s="6"/>
      <c r="L20" s="6"/>
      <c r="M20" s="6"/>
      <c r="N20" s="6"/>
      <c r="O20" s="6"/>
      <c r="P20" s="6"/>
      <c r="Q20" s="6"/>
      <c r="R20" s="6"/>
      <c r="S20" s="6"/>
      <c r="T20" s="6"/>
      <c r="U20" s="7"/>
      <c r="V20" s="26"/>
    </row>
    <row r="21" spans="1:22" ht="26.25" customHeight="1" thickTop="1" x14ac:dyDescent="0.2">
      <c r="B21" s="27"/>
      <c r="C21" s="28"/>
      <c r="D21" s="28"/>
      <c r="E21" s="28"/>
      <c r="F21" s="28"/>
      <c r="G21" s="28"/>
      <c r="H21" s="29"/>
      <c r="I21" s="29"/>
      <c r="J21" s="29"/>
      <c r="K21" s="29"/>
      <c r="L21" s="29"/>
      <c r="M21" s="29"/>
      <c r="N21" s="29"/>
      <c r="O21" s="29"/>
      <c r="P21" s="29"/>
      <c r="Q21" s="29"/>
      <c r="R21" s="30"/>
      <c r="S21" s="31" t="s">
        <v>33</v>
      </c>
      <c r="T21" s="31" t="s">
        <v>81</v>
      </c>
      <c r="U21" s="18" t="s">
        <v>82</v>
      </c>
    </row>
    <row r="22" spans="1:22" ht="26.25" customHeight="1" thickBot="1" x14ac:dyDescent="0.25">
      <c r="B22" s="32"/>
      <c r="C22" s="33"/>
      <c r="D22" s="33"/>
      <c r="E22" s="33"/>
      <c r="F22" s="33"/>
      <c r="G22" s="33"/>
      <c r="H22" s="34"/>
      <c r="I22" s="34"/>
      <c r="J22" s="34"/>
      <c r="K22" s="34"/>
      <c r="L22" s="34"/>
      <c r="M22" s="34"/>
      <c r="N22" s="34"/>
      <c r="O22" s="34"/>
      <c r="P22" s="34"/>
      <c r="Q22" s="34"/>
      <c r="R22" s="34"/>
      <c r="S22" s="35" t="s">
        <v>83</v>
      </c>
      <c r="T22" s="36" t="s">
        <v>83</v>
      </c>
      <c r="U22" s="36" t="s">
        <v>84</v>
      </c>
    </row>
    <row r="23" spans="1:22" ht="13.5" customHeight="1" thickBot="1" x14ac:dyDescent="0.25">
      <c r="B23" s="92" t="s">
        <v>85</v>
      </c>
      <c r="C23" s="93"/>
      <c r="D23" s="93"/>
      <c r="E23" s="37"/>
      <c r="F23" s="37"/>
      <c r="G23" s="37"/>
      <c r="H23" s="38"/>
      <c r="I23" s="38"/>
      <c r="J23" s="38"/>
      <c r="K23" s="38"/>
      <c r="L23" s="38"/>
      <c r="M23" s="38"/>
      <c r="N23" s="38"/>
      <c r="O23" s="38"/>
      <c r="P23" s="39"/>
      <c r="Q23" s="39"/>
      <c r="R23" s="39"/>
      <c r="S23" s="48">
        <v>330</v>
      </c>
      <c r="T23" s="48">
        <v>87.041903110000021</v>
      </c>
      <c r="U23" s="49">
        <f>+IF(ISERR(T23/S23*100),"N/A",ROUND(T23/S23*100,1))</f>
        <v>26.4</v>
      </c>
    </row>
    <row r="24" spans="1:22" ht="13.5" customHeight="1" thickBot="1" x14ac:dyDescent="0.25">
      <c r="B24" s="94" t="s">
        <v>86</v>
      </c>
      <c r="C24" s="95"/>
      <c r="D24" s="95"/>
      <c r="E24" s="40"/>
      <c r="F24" s="40"/>
      <c r="G24" s="40"/>
      <c r="H24" s="41"/>
      <c r="I24" s="41"/>
      <c r="J24" s="41"/>
      <c r="K24" s="41"/>
      <c r="L24" s="41"/>
      <c r="M24" s="41"/>
      <c r="N24" s="41"/>
      <c r="O24" s="41"/>
      <c r="P24" s="42"/>
      <c r="Q24" s="42"/>
      <c r="R24" s="42"/>
      <c r="S24" s="48">
        <v>87.041903110000021</v>
      </c>
      <c r="T24" s="48">
        <v>87.041903110000021</v>
      </c>
      <c r="U24" s="49">
        <f>+IF(ISERR(T24/S24*100),"N/A",ROUND(T24/S24*100,1))</f>
        <v>100</v>
      </c>
    </row>
    <row r="25" spans="1:22" ht="14.85" customHeight="1" thickTop="1" thickBot="1" x14ac:dyDescent="0.25">
      <c r="B25" s="4" t="s">
        <v>87</v>
      </c>
      <c r="C25" s="5"/>
      <c r="D25" s="5"/>
      <c r="E25" s="5"/>
      <c r="F25" s="5"/>
      <c r="G25" s="5"/>
      <c r="H25" s="6"/>
      <c r="I25" s="6"/>
      <c r="J25" s="6"/>
      <c r="K25" s="6"/>
      <c r="L25" s="6"/>
      <c r="M25" s="6"/>
      <c r="N25" s="6"/>
      <c r="O25" s="6"/>
      <c r="P25" s="6"/>
      <c r="Q25" s="6"/>
      <c r="R25" s="6"/>
      <c r="S25" s="6"/>
      <c r="T25" s="6"/>
      <c r="U25" s="7"/>
    </row>
    <row r="26" spans="1:22" ht="44.25" customHeight="1" thickTop="1" x14ac:dyDescent="0.2">
      <c r="B26" s="89" t="s">
        <v>88</v>
      </c>
      <c r="C26" s="90"/>
      <c r="D26" s="90"/>
      <c r="E26" s="90"/>
      <c r="F26" s="90"/>
      <c r="G26" s="90"/>
      <c r="H26" s="90"/>
      <c r="I26" s="90"/>
      <c r="J26" s="90"/>
      <c r="K26" s="90"/>
      <c r="L26" s="90"/>
      <c r="M26" s="90"/>
      <c r="N26" s="90"/>
      <c r="O26" s="90"/>
      <c r="P26" s="90"/>
      <c r="Q26" s="90"/>
      <c r="R26" s="90"/>
      <c r="S26" s="90"/>
      <c r="T26" s="90"/>
      <c r="U26" s="91"/>
    </row>
    <row r="27" spans="1:22" ht="83.25" customHeight="1" x14ac:dyDescent="0.2">
      <c r="B27" s="96" t="s">
        <v>1361</v>
      </c>
      <c r="C27" s="97"/>
      <c r="D27" s="97"/>
      <c r="E27" s="97"/>
      <c r="F27" s="97"/>
      <c r="G27" s="97"/>
      <c r="H27" s="97"/>
      <c r="I27" s="97"/>
      <c r="J27" s="97"/>
      <c r="K27" s="97"/>
      <c r="L27" s="97"/>
      <c r="M27" s="97"/>
      <c r="N27" s="97"/>
      <c r="O27" s="97"/>
      <c r="P27" s="97"/>
      <c r="Q27" s="97"/>
      <c r="R27" s="97"/>
      <c r="S27" s="97"/>
      <c r="T27" s="97"/>
      <c r="U27" s="98"/>
    </row>
    <row r="28" spans="1:22" ht="57.75" customHeight="1" x14ac:dyDescent="0.2">
      <c r="B28" s="96" t="s">
        <v>1362</v>
      </c>
      <c r="C28" s="97"/>
      <c r="D28" s="97"/>
      <c r="E28" s="97"/>
      <c r="F28" s="97"/>
      <c r="G28" s="97"/>
      <c r="H28" s="97"/>
      <c r="I28" s="97"/>
      <c r="J28" s="97"/>
      <c r="K28" s="97"/>
      <c r="L28" s="97"/>
      <c r="M28" s="97"/>
      <c r="N28" s="97"/>
      <c r="O28" s="97"/>
      <c r="P28" s="97"/>
      <c r="Q28" s="97"/>
      <c r="R28" s="97"/>
      <c r="S28" s="97"/>
      <c r="T28" s="97"/>
      <c r="U28" s="98"/>
    </row>
    <row r="29" spans="1:22" ht="147" customHeight="1" x14ac:dyDescent="0.2">
      <c r="B29" s="96" t="s">
        <v>1363</v>
      </c>
      <c r="C29" s="97"/>
      <c r="D29" s="97"/>
      <c r="E29" s="97"/>
      <c r="F29" s="97"/>
      <c r="G29" s="97"/>
      <c r="H29" s="97"/>
      <c r="I29" s="97"/>
      <c r="J29" s="97"/>
      <c r="K29" s="97"/>
      <c r="L29" s="97"/>
      <c r="M29" s="97"/>
      <c r="N29" s="97"/>
      <c r="O29" s="97"/>
      <c r="P29" s="97"/>
      <c r="Q29" s="97"/>
      <c r="R29" s="97"/>
      <c r="S29" s="97"/>
      <c r="T29" s="97"/>
      <c r="U29" s="98"/>
    </row>
    <row r="30" spans="1:22" ht="63" customHeight="1" x14ac:dyDescent="0.2">
      <c r="B30" s="96" t="s">
        <v>1364</v>
      </c>
      <c r="C30" s="97"/>
      <c r="D30" s="97"/>
      <c r="E30" s="97"/>
      <c r="F30" s="97"/>
      <c r="G30" s="97"/>
      <c r="H30" s="97"/>
      <c r="I30" s="97"/>
      <c r="J30" s="97"/>
      <c r="K30" s="97"/>
      <c r="L30" s="97"/>
      <c r="M30" s="97"/>
      <c r="N30" s="97"/>
      <c r="O30" s="97"/>
      <c r="P30" s="97"/>
      <c r="Q30" s="97"/>
      <c r="R30" s="97"/>
      <c r="S30" s="97"/>
      <c r="T30" s="97"/>
      <c r="U30" s="98"/>
    </row>
    <row r="31" spans="1:22" ht="69.75" customHeight="1" x14ac:dyDescent="0.2">
      <c r="B31" s="96" t="s">
        <v>1365</v>
      </c>
      <c r="C31" s="97"/>
      <c r="D31" s="97"/>
      <c r="E31" s="97"/>
      <c r="F31" s="97"/>
      <c r="G31" s="97"/>
      <c r="H31" s="97"/>
      <c r="I31" s="97"/>
      <c r="J31" s="97"/>
      <c r="K31" s="97"/>
      <c r="L31" s="97"/>
      <c r="M31" s="97"/>
      <c r="N31" s="97"/>
      <c r="O31" s="97"/>
      <c r="P31" s="97"/>
      <c r="Q31" s="97"/>
      <c r="R31" s="97"/>
      <c r="S31" s="97"/>
      <c r="T31" s="97"/>
      <c r="U31" s="98"/>
    </row>
    <row r="32" spans="1:22" ht="57.75" customHeight="1" x14ac:dyDescent="0.2">
      <c r="B32" s="96" t="s">
        <v>1366</v>
      </c>
      <c r="C32" s="97"/>
      <c r="D32" s="97"/>
      <c r="E32" s="97"/>
      <c r="F32" s="97"/>
      <c r="G32" s="97"/>
      <c r="H32" s="97"/>
      <c r="I32" s="97"/>
      <c r="J32" s="97"/>
      <c r="K32" s="97"/>
      <c r="L32" s="97"/>
      <c r="M32" s="97"/>
      <c r="N32" s="97"/>
      <c r="O32" s="97"/>
      <c r="P32" s="97"/>
      <c r="Q32" s="97"/>
      <c r="R32" s="97"/>
      <c r="S32" s="97"/>
      <c r="T32" s="97"/>
      <c r="U32" s="98"/>
    </row>
    <row r="33" spans="2:21" ht="57.75" customHeight="1" x14ac:dyDescent="0.2">
      <c r="B33" s="96" t="s">
        <v>1367</v>
      </c>
      <c r="C33" s="97"/>
      <c r="D33" s="97"/>
      <c r="E33" s="97"/>
      <c r="F33" s="97"/>
      <c r="G33" s="97"/>
      <c r="H33" s="97"/>
      <c r="I33" s="97"/>
      <c r="J33" s="97"/>
      <c r="K33" s="97"/>
      <c r="L33" s="97"/>
      <c r="M33" s="97"/>
      <c r="N33" s="97"/>
      <c r="O33" s="97"/>
      <c r="P33" s="97"/>
      <c r="Q33" s="97"/>
      <c r="R33" s="97"/>
      <c r="S33" s="97"/>
      <c r="T33" s="97"/>
      <c r="U33" s="98"/>
    </row>
    <row r="34" spans="2:21" ht="60.75" customHeight="1" x14ac:dyDescent="0.2">
      <c r="B34" s="96" t="s">
        <v>1368</v>
      </c>
      <c r="C34" s="97"/>
      <c r="D34" s="97"/>
      <c r="E34" s="97"/>
      <c r="F34" s="97"/>
      <c r="G34" s="97"/>
      <c r="H34" s="97"/>
      <c r="I34" s="97"/>
      <c r="J34" s="97"/>
      <c r="K34" s="97"/>
      <c r="L34" s="97"/>
      <c r="M34" s="97"/>
      <c r="N34" s="97"/>
      <c r="O34" s="97"/>
      <c r="P34" s="97"/>
      <c r="Q34" s="97"/>
      <c r="R34" s="97"/>
      <c r="S34" s="97"/>
      <c r="T34" s="97"/>
      <c r="U34" s="98"/>
    </row>
    <row r="35" spans="2:21" ht="57.75" customHeight="1" thickBot="1" x14ac:dyDescent="0.25">
      <c r="B35" s="99" t="s">
        <v>1369</v>
      </c>
      <c r="C35" s="100"/>
      <c r="D35" s="100"/>
      <c r="E35" s="100"/>
      <c r="F35" s="100"/>
      <c r="G35" s="100"/>
      <c r="H35" s="100"/>
      <c r="I35" s="100"/>
      <c r="J35" s="100"/>
      <c r="K35" s="100"/>
      <c r="L35" s="100"/>
      <c r="M35" s="100"/>
      <c r="N35" s="100"/>
      <c r="O35" s="100"/>
      <c r="P35" s="100"/>
      <c r="Q35" s="100"/>
      <c r="R35" s="100"/>
      <c r="S35" s="100"/>
      <c r="T35" s="100"/>
      <c r="U35" s="101"/>
    </row>
  </sheetData>
  <mergeCells count="60">
    <mergeCell ref="B35:U35"/>
    <mergeCell ref="B23:D23"/>
    <mergeCell ref="B24:D24"/>
    <mergeCell ref="B26:U26"/>
    <mergeCell ref="B27:U27"/>
    <mergeCell ref="B28:U28"/>
    <mergeCell ref="B29:U29"/>
    <mergeCell ref="B30:U30"/>
    <mergeCell ref="B31:U31"/>
    <mergeCell ref="B32:U32"/>
    <mergeCell ref="B33:U33"/>
    <mergeCell ref="B34:U34"/>
    <mergeCell ref="C18:H18"/>
    <mergeCell ref="I18:K18"/>
    <mergeCell ref="L18:O18"/>
    <mergeCell ref="C19:H19"/>
    <mergeCell ref="I19:K19"/>
    <mergeCell ref="L19:O19"/>
    <mergeCell ref="C16:H16"/>
    <mergeCell ref="I16:K16"/>
    <mergeCell ref="L16:O16"/>
    <mergeCell ref="C17:H17"/>
    <mergeCell ref="I17:K17"/>
    <mergeCell ref="L17:O17"/>
    <mergeCell ref="C14:H14"/>
    <mergeCell ref="I14:K14"/>
    <mergeCell ref="L14:O14"/>
    <mergeCell ref="C15:H15"/>
    <mergeCell ref="I15:K15"/>
    <mergeCell ref="L15:O15"/>
    <mergeCell ref="C12:H12"/>
    <mergeCell ref="I12:K12"/>
    <mergeCell ref="L12:O12"/>
    <mergeCell ref="C13:H13"/>
    <mergeCell ref="I13:K13"/>
    <mergeCell ref="L13:O13"/>
    <mergeCell ref="C11:H11"/>
    <mergeCell ref="I11:K11"/>
    <mergeCell ref="L11:O11"/>
    <mergeCell ref="C6:G6"/>
    <mergeCell ref="K6:M6"/>
    <mergeCell ref="P6:Q6"/>
    <mergeCell ref="T6:U6"/>
    <mergeCell ref="B8:B10"/>
    <mergeCell ref="C8:H10"/>
    <mergeCell ref="I8:S8"/>
    <mergeCell ref="T8:U8"/>
    <mergeCell ref="I9:K10"/>
    <mergeCell ref="L9:O10"/>
    <mergeCell ref="P9:P10"/>
    <mergeCell ref="Q9:Q10"/>
    <mergeCell ref="R9:S9"/>
    <mergeCell ref="T9:T10"/>
    <mergeCell ref="U9:U10"/>
    <mergeCell ref="B5:U5"/>
    <mergeCell ref="B1:L1"/>
    <mergeCell ref="D4:H4"/>
    <mergeCell ref="L4:O4"/>
    <mergeCell ref="Q4:R4"/>
    <mergeCell ref="T4:U4"/>
  </mergeCells>
  <printOptions horizontalCentered="1"/>
  <pageMargins left="0.78740157480314965" right="0.78740157480314965" top="0.98425196850393704" bottom="0.98425196850393704" header="0" footer="0.39370078740157483"/>
  <pageSetup scale="60" fitToHeight="10" orientation="landscape" r:id="rId1"/>
  <headerFooter>
    <oddFooter>&amp;R&amp;P de &amp;N</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25"/>
  <sheetViews>
    <sheetView view="pageBreakPreview" topLeftCell="A7" zoomScale="80" zoomScaleNormal="80" zoomScaleSheetLayoutView="80" workbookViewId="0">
      <selection activeCell="T12" sqref="T12:U12"/>
    </sheetView>
  </sheetViews>
  <sheetFormatPr baseColWidth="10" defaultColWidth="10" defaultRowHeight="12.75" x14ac:dyDescent="0.2"/>
  <cols>
    <col min="1" max="1" width="3.5" style="1" customWidth="1"/>
    <col min="2" max="2" width="14.7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9.625" style="1" customWidth="1"/>
    <col min="19" max="19" width="13" style="1" customWidth="1"/>
    <col min="20" max="20" width="10.75" style="1" customWidth="1"/>
    <col min="21" max="21" width="11.37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2" s="2" customFormat="1" ht="48" customHeight="1" x14ac:dyDescent="0.2">
      <c r="B1" s="50" t="s">
        <v>0</v>
      </c>
      <c r="C1" s="50"/>
      <c r="D1" s="50"/>
      <c r="E1" s="50"/>
      <c r="F1" s="50"/>
      <c r="G1" s="50"/>
      <c r="H1" s="50"/>
      <c r="I1" s="50"/>
      <c r="J1" s="50"/>
      <c r="K1" s="50"/>
      <c r="L1" s="50"/>
      <c r="M1" s="3" t="s">
        <v>1</v>
      </c>
    </row>
    <row r="2" spans="1:22" ht="13.5" customHeight="1" thickBot="1" x14ac:dyDescent="0.25"/>
    <row r="3" spans="1:22" ht="13.5" customHeight="1" thickTop="1" thickBot="1" x14ac:dyDescent="0.25">
      <c r="B3" s="4" t="s">
        <v>5</v>
      </c>
      <c r="C3" s="5"/>
      <c r="D3" s="5"/>
      <c r="E3" s="5"/>
      <c r="F3" s="5"/>
      <c r="G3" s="5"/>
      <c r="H3" s="6"/>
      <c r="I3" s="6"/>
      <c r="J3" s="6"/>
      <c r="K3" s="6"/>
      <c r="L3" s="6"/>
      <c r="M3" s="6"/>
      <c r="N3" s="6"/>
      <c r="O3" s="6"/>
      <c r="P3" s="6"/>
      <c r="Q3" s="6"/>
      <c r="R3" s="6"/>
      <c r="S3" s="6"/>
      <c r="T3" s="6"/>
      <c r="U3" s="7"/>
    </row>
    <row r="4" spans="1:22" ht="51.75" customHeight="1" thickTop="1" x14ac:dyDescent="0.2">
      <c r="B4" s="8" t="s">
        <v>6</v>
      </c>
      <c r="C4" s="9" t="s">
        <v>1370</v>
      </c>
      <c r="D4" s="57" t="s">
        <v>1371</v>
      </c>
      <c r="E4" s="57"/>
      <c r="F4" s="57"/>
      <c r="G4" s="57"/>
      <c r="H4" s="57"/>
      <c r="I4" s="10"/>
      <c r="J4" s="11" t="s">
        <v>9</v>
      </c>
      <c r="K4" s="12" t="s">
        <v>10</v>
      </c>
      <c r="L4" s="58" t="s">
        <v>11</v>
      </c>
      <c r="M4" s="58"/>
      <c r="N4" s="58"/>
      <c r="O4" s="58"/>
      <c r="P4" s="11" t="s">
        <v>12</v>
      </c>
      <c r="Q4" s="58" t="s">
        <v>1310</v>
      </c>
      <c r="R4" s="58"/>
      <c r="S4" s="11" t="s">
        <v>14</v>
      </c>
      <c r="T4" s="58"/>
      <c r="U4" s="59"/>
    </row>
    <row r="5" spans="1:22" ht="15.75" customHeight="1" x14ac:dyDescent="0.2">
      <c r="B5" s="54" t="s">
        <v>15</v>
      </c>
      <c r="C5" s="55"/>
      <c r="D5" s="55"/>
      <c r="E5" s="55"/>
      <c r="F5" s="55"/>
      <c r="G5" s="55"/>
      <c r="H5" s="55"/>
      <c r="I5" s="55"/>
      <c r="J5" s="55"/>
      <c r="K5" s="55"/>
      <c r="L5" s="55"/>
      <c r="M5" s="55"/>
      <c r="N5" s="55"/>
      <c r="O5" s="55"/>
      <c r="P5" s="55"/>
      <c r="Q5" s="55"/>
      <c r="R5" s="55"/>
      <c r="S5" s="55"/>
      <c r="T5" s="55"/>
      <c r="U5" s="56"/>
    </row>
    <row r="6" spans="1:22" ht="37.5" customHeight="1" thickBot="1" x14ac:dyDescent="0.25">
      <c r="B6" s="13" t="s">
        <v>16</v>
      </c>
      <c r="C6" s="60" t="s">
        <v>17</v>
      </c>
      <c r="D6" s="60"/>
      <c r="E6" s="60"/>
      <c r="F6" s="60"/>
      <c r="G6" s="60"/>
      <c r="H6" s="14"/>
      <c r="I6" s="14"/>
      <c r="J6" s="14" t="s">
        <v>18</v>
      </c>
      <c r="K6" s="60" t="s">
        <v>19</v>
      </c>
      <c r="L6" s="60"/>
      <c r="M6" s="60"/>
      <c r="N6" s="15"/>
      <c r="O6" s="16" t="s">
        <v>20</v>
      </c>
      <c r="P6" s="60" t="s">
        <v>1311</v>
      </c>
      <c r="Q6" s="60"/>
      <c r="R6" s="17"/>
      <c r="S6" s="16" t="s">
        <v>22</v>
      </c>
      <c r="T6" s="60" t="s">
        <v>785</v>
      </c>
      <c r="U6" s="61"/>
    </row>
    <row r="7" spans="1:22" ht="14.25" customHeight="1" thickTop="1" thickBot="1" x14ac:dyDescent="0.25">
      <c r="B7" s="4" t="s">
        <v>24</v>
      </c>
      <c r="C7" s="5"/>
      <c r="D7" s="5"/>
      <c r="E7" s="5"/>
      <c r="F7" s="5"/>
      <c r="G7" s="5"/>
      <c r="H7" s="6"/>
      <c r="I7" s="6"/>
      <c r="J7" s="6"/>
      <c r="K7" s="6"/>
      <c r="L7" s="6"/>
      <c r="M7" s="6"/>
      <c r="N7" s="6"/>
      <c r="O7" s="6"/>
      <c r="P7" s="6"/>
      <c r="Q7" s="6"/>
      <c r="R7" s="6"/>
      <c r="S7" s="6"/>
      <c r="T7" s="6"/>
      <c r="U7" s="7"/>
    </row>
    <row r="8" spans="1:22" ht="16.5" customHeight="1" thickTop="1" x14ac:dyDescent="0.2">
      <c r="B8" s="62" t="s">
        <v>25</v>
      </c>
      <c r="C8" s="65" t="s">
        <v>26</v>
      </c>
      <c r="D8" s="66"/>
      <c r="E8" s="66"/>
      <c r="F8" s="66"/>
      <c r="G8" s="66"/>
      <c r="H8" s="67"/>
      <c r="I8" s="74" t="s">
        <v>27</v>
      </c>
      <c r="J8" s="75"/>
      <c r="K8" s="75"/>
      <c r="L8" s="75"/>
      <c r="M8" s="75"/>
      <c r="N8" s="75"/>
      <c r="O8" s="75"/>
      <c r="P8" s="75"/>
      <c r="Q8" s="75"/>
      <c r="R8" s="75"/>
      <c r="S8" s="76"/>
      <c r="T8" s="77" t="s">
        <v>28</v>
      </c>
      <c r="U8" s="78"/>
    </row>
    <row r="9" spans="1:22" ht="19.5" customHeight="1" x14ac:dyDescent="0.2">
      <c r="B9" s="63"/>
      <c r="C9" s="68"/>
      <c r="D9" s="69"/>
      <c r="E9" s="69"/>
      <c r="F9" s="69"/>
      <c r="G9" s="69"/>
      <c r="H9" s="70"/>
      <c r="I9" s="79" t="s">
        <v>29</v>
      </c>
      <c r="J9" s="80"/>
      <c r="K9" s="80"/>
      <c r="L9" s="80" t="s">
        <v>30</v>
      </c>
      <c r="M9" s="80"/>
      <c r="N9" s="80"/>
      <c r="O9" s="80"/>
      <c r="P9" s="80" t="s">
        <v>31</v>
      </c>
      <c r="Q9" s="80" t="s">
        <v>32</v>
      </c>
      <c r="R9" s="83" t="s">
        <v>33</v>
      </c>
      <c r="S9" s="84"/>
      <c r="T9" s="80" t="s">
        <v>34</v>
      </c>
      <c r="U9" s="85" t="s">
        <v>35</v>
      </c>
    </row>
    <row r="10" spans="1:22" ht="26.25" customHeight="1" thickBot="1" x14ac:dyDescent="0.25">
      <c r="B10" s="64"/>
      <c r="C10" s="71"/>
      <c r="D10" s="72"/>
      <c r="E10" s="72"/>
      <c r="F10" s="72"/>
      <c r="G10" s="72"/>
      <c r="H10" s="73"/>
      <c r="I10" s="81"/>
      <c r="J10" s="82"/>
      <c r="K10" s="82"/>
      <c r="L10" s="82"/>
      <c r="M10" s="82"/>
      <c r="N10" s="82"/>
      <c r="O10" s="82"/>
      <c r="P10" s="82"/>
      <c r="Q10" s="82"/>
      <c r="R10" s="19" t="s">
        <v>36</v>
      </c>
      <c r="S10" s="20" t="s">
        <v>37</v>
      </c>
      <c r="T10" s="82"/>
      <c r="U10" s="86"/>
    </row>
    <row r="11" spans="1:22" ht="75" customHeight="1" thickTop="1" thickBot="1" x14ac:dyDescent="0.25">
      <c r="A11" s="21"/>
      <c r="B11" s="22" t="s">
        <v>38</v>
      </c>
      <c r="C11" s="87" t="s">
        <v>1372</v>
      </c>
      <c r="D11" s="87"/>
      <c r="E11" s="87"/>
      <c r="F11" s="87"/>
      <c r="G11" s="87"/>
      <c r="H11" s="87"/>
      <c r="I11" s="87" t="s">
        <v>1373</v>
      </c>
      <c r="J11" s="87"/>
      <c r="K11" s="87"/>
      <c r="L11" s="87" t="s">
        <v>1374</v>
      </c>
      <c r="M11" s="87"/>
      <c r="N11" s="87"/>
      <c r="O11" s="87"/>
      <c r="P11" s="23" t="s">
        <v>48</v>
      </c>
      <c r="Q11" s="23" t="s">
        <v>43</v>
      </c>
      <c r="R11" s="23">
        <v>100</v>
      </c>
      <c r="S11" s="23">
        <v>100</v>
      </c>
      <c r="T11" s="23">
        <v>9745.09</v>
      </c>
      <c r="U11" s="47">
        <f>9745.09</f>
        <v>9745.09</v>
      </c>
    </row>
    <row r="12" spans="1:22" ht="75" customHeight="1" thickTop="1" thickBot="1" x14ac:dyDescent="0.25">
      <c r="A12" s="21"/>
      <c r="B12" s="22" t="s">
        <v>44</v>
      </c>
      <c r="C12" s="87" t="s">
        <v>1375</v>
      </c>
      <c r="D12" s="87"/>
      <c r="E12" s="87"/>
      <c r="F12" s="87"/>
      <c r="G12" s="87"/>
      <c r="H12" s="87"/>
      <c r="I12" s="87" t="s">
        <v>1376</v>
      </c>
      <c r="J12" s="87"/>
      <c r="K12" s="87"/>
      <c r="L12" s="87" t="s">
        <v>1377</v>
      </c>
      <c r="M12" s="87"/>
      <c r="N12" s="87"/>
      <c r="O12" s="87"/>
      <c r="P12" s="23" t="s">
        <v>48</v>
      </c>
      <c r="Q12" s="23" t="s">
        <v>716</v>
      </c>
      <c r="R12" s="23">
        <v>100</v>
      </c>
      <c r="S12" s="23">
        <v>100</v>
      </c>
      <c r="T12" s="104">
        <v>96.88</v>
      </c>
      <c r="U12" s="108">
        <v>96.88</v>
      </c>
    </row>
    <row r="13" spans="1:22" ht="75" customHeight="1" thickTop="1" thickBot="1" x14ac:dyDescent="0.25">
      <c r="A13" s="21"/>
      <c r="B13" s="22" t="s">
        <v>50</v>
      </c>
      <c r="C13" s="87" t="s">
        <v>1378</v>
      </c>
      <c r="D13" s="87"/>
      <c r="E13" s="87"/>
      <c r="F13" s="87"/>
      <c r="G13" s="87"/>
      <c r="H13" s="87"/>
      <c r="I13" s="87" t="s">
        <v>1379</v>
      </c>
      <c r="J13" s="87"/>
      <c r="K13" s="87"/>
      <c r="L13" s="87" t="s">
        <v>1380</v>
      </c>
      <c r="M13" s="87"/>
      <c r="N13" s="87"/>
      <c r="O13" s="87"/>
      <c r="P13" s="23" t="s">
        <v>48</v>
      </c>
      <c r="Q13" s="23" t="s">
        <v>71</v>
      </c>
      <c r="R13" s="23">
        <v>100</v>
      </c>
      <c r="S13" s="23">
        <v>100</v>
      </c>
      <c r="T13" s="23">
        <v>100</v>
      </c>
      <c r="U13" s="47">
        <f>100</f>
        <v>100</v>
      </c>
    </row>
    <row r="14" spans="1:22" ht="75" customHeight="1" thickTop="1" thickBot="1" x14ac:dyDescent="0.25">
      <c r="A14" s="21"/>
      <c r="B14" s="22" t="s">
        <v>61</v>
      </c>
      <c r="C14" s="87" t="s">
        <v>1381</v>
      </c>
      <c r="D14" s="87"/>
      <c r="E14" s="87"/>
      <c r="F14" s="87"/>
      <c r="G14" s="87"/>
      <c r="H14" s="87"/>
      <c r="I14" s="87" t="s">
        <v>1382</v>
      </c>
      <c r="J14" s="87"/>
      <c r="K14" s="87"/>
      <c r="L14" s="87" t="s">
        <v>1383</v>
      </c>
      <c r="M14" s="87"/>
      <c r="N14" s="87"/>
      <c r="O14" s="87"/>
      <c r="P14" s="23" t="s">
        <v>48</v>
      </c>
      <c r="Q14" s="23" t="s">
        <v>71</v>
      </c>
      <c r="R14" s="23">
        <v>100</v>
      </c>
      <c r="S14" s="23">
        <v>100</v>
      </c>
      <c r="T14" s="23">
        <v>268.75</v>
      </c>
      <c r="U14" s="47">
        <f>268.75</f>
        <v>268.75</v>
      </c>
    </row>
    <row r="15" spans="1:22" ht="14.25" customHeight="1" thickTop="1" thickBot="1" x14ac:dyDescent="0.25">
      <c r="B15" s="4" t="s">
        <v>80</v>
      </c>
      <c r="C15" s="5"/>
      <c r="D15" s="5"/>
      <c r="E15" s="5"/>
      <c r="F15" s="5"/>
      <c r="G15" s="5"/>
      <c r="H15" s="6"/>
      <c r="I15" s="6"/>
      <c r="J15" s="6"/>
      <c r="K15" s="6"/>
      <c r="L15" s="6"/>
      <c r="M15" s="6"/>
      <c r="N15" s="6"/>
      <c r="O15" s="6"/>
      <c r="P15" s="6"/>
      <c r="Q15" s="6"/>
      <c r="R15" s="6"/>
      <c r="S15" s="6"/>
      <c r="T15" s="6"/>
      <c r="U15" s="7"/>
      <c r="V15" s="26"/>
    </row>
    <row r="16" spans="1:22" ht="26.25" customHeight="1" thickTop="1" x14ac:dyDescent="0.2">
      <c r="B16" s="27"/>
      <c r="C16" s="28"/>
      <c r="D16" s="28"/>
      <c r="E16" s="28"/>
      <c r="F16" s="28"/>
      <c r="G16" s="28"/>
      <c r="H16" s="29"/>
      <c r="I16" s="29"/>
      <c r="J16" s="29"/>
      <c r="K16" s="29"/>
      <c r="L16" s="29"/>
      <c r="M16" s="29"/>
      <c r="N16" s="29"/>
      <c r="O16" s="29"/>
      <c r="P16" s="29"/>
      <c r="Q16" s="29"/>
      <c r="R16" s="30"/>
      <c r="S16" s="31" t="s">
        <v>33</v>
      </c>
      <c r="T16" s="31" t="s">
        <v>81</v>
      </c>
      <c r="U16" s="18" t="s">
        <v>82</v>
      </c>
    </row>
    <row r="17" spans="2:21" ht="26.25" customHeight="1" thickBot="1" x14ac:dyDescent="0.25">
      <c r="B17" s="32"/>
      <c r="C17" s="33"/>
      <c r="D17" s="33"/>
      <c r="E17" s="33"/>
      <c r="F17" s="33"/>
      <c r="G17" s="33"/>
      <c r="H17" s="34"/>
      <c r="I17" s="34"/>
      <c r="J17" s="34"/>
      <c r="K17" s="34"/>
      <c r="L17" s="34"/>
      <c r="M17" s="34"/>
      <c r="N17" s="34"/>
      <c r="O17" s="34"/>
      <c r="P17" s="34"/>
      <c r="Q17" s="34"/>
      <c r="R17" s="34"/>
      <c r="S17" s="35" t="s">
        <v>83</v>
      </c>
      <c r="T17" s="36" t="s">
        <v>83</v>
      </c>
      <c r="U17" s="36" t="s">
        <v>84</v>
      </c>
    </row>
    <row r="18" spans="2:21" ht="13.5" customHeight="1" thickBot="1" x14ac:dyDescent="0.25">
      <c r="B18" s="92" t="s">
        <v>85</v>
      </c>
      <c r="C18" s="93"/>
      <c r="D18" s="93"/>
      <c r="E18" s="37"/>
      <c r="F18" s="37"/>
      <c r="G18" s="37"/>
      <c r="H18" s="38"/>
      <c r="I18" s="38"/>
      <c r="J18" s="38"/>
      <c r="K18" s="38"/>
      <c r="L18" s="38"/>
      <c r="M18" s="38"/>
      <c r="N18" s="38"/>
      <c r="O18" s="38"/>
      <c r="P18" s="39"/>
      <c r="Q18" s="39"/>
      <c r="R18" s="39"/>
      <c r="S18" s="48">
        <v>310</v>
      </c>
      <c r="T18" s="48">
        <v>30209.773401540002</v>
      </c>
      <c r="U18" s="49">
        <f>+IF(ISERR(T18/S18*100),"N/A",ROUND(T18/S18*100,1))</f>
        <v>9745.1</v>
      </c>
    </row>
    <row r="19" spans="2:21" ht="13.5" customHeight="1" thickBot="1" x14ac:dyDescent="0.25">
      <c r="B19" s="94" t="s">
        <v>86</v>
      </c>
      <c r="C19" s="95"/>
      <c r="D19" s="95"/>
      <c r="E19" s="40"/>
      <c r="F19" s="40"/>
      <c r="G19" s="40"/>
      <c r="H19" s="41"/>
      <c r="I19" s="41"/>
      <c r="J19" s="41"/>
      <c r="K19" s="41"/>
      <c r="L19" s="41"/>
      <c r="M19" s="41"/>
      <c r="N19" s="41"/>
      <c r="O19" s="41"/>
      <c r="P19" s="42"/>
      <c r="Q19" s="42"/>
      <c r="R19" s="42"/>
      <c r="S19" s="48">
        <v>30209.773401540002</v>
      </c>
      <c r="T19" s="48">
        <v>30209.773401540002</v>
      </c>
      <c r="U19" s="49">
        <f>+IF(ISERR(T19/S19*100),"N/A",ROUND(T19/S19*100,1))</f>
        <v>100</v>
      </c>
    </row>
    <row r="20" spans="2:21" ht="14.85" customHeight="1" thickTop="1" thickBot="1" x14ac:dyDescent="0.25">
      <c r="B20" s="4" t="s">
        <v>87</v>
      </c>
      <c r="C20" s="5"/>
      <c r="D20" s="5"/>
      <c r="E20" s="5"/>
      <c r="F20" s="5"/>
      <c r="G20" s="5"/>
      <c r="H20" s="6"/>
      <c r="I20" s="6"/>
      <c r="J20" s="6"/>
      <c r="K20" s="6"/>
      <c r="L20" s="6"/>
      <c r="M20" s="6"/>
      <c r="N20" s="6"/>
      <c r="O20" s="6"/>
      <c r="P20" s="6"/>
      <c r="Q20" s="6"/>
      <c r="R20" s="6"/>
      <c r="S20" s="6"/>
      <c r="T20" s="6"/>
      <c r="U20" s="7"/>
    </row>
    <row r="21" spans="2:21" ht="44.25" customHeight="1" thickTop="1" x14ac:dyDescent="0.2">
      <c r="B21" s="89" t="s">
        <v>88</v>
      </c>
      <c r="C21" s="90"/>
      <c r="D21" s="90"/>
      <c r="E21" s="90"/>
      <c r="F21" s="90"/>
      <c r="G21" s="90"/>
      <c r="H21" s="90"/>
      <c r="I21" s="90"/>
      <c r="J21" s="90"/>
      <c r="K21" s="90"/>
      <c r="L21" s="90"/>
      <c r="M21" s="90"/>
      <c r="N21" s="90"/>
      <c r="O21" s="90"/>
      <c r="P21" s="90"/>
      <c r="Q21" s="90"/>
      <c r="R21" s="90"/>
      <c r="S21" s="90"/>
      <c r="T21" s="90"/>
      <c r="U21" s="91"/>
    </row>
    <row r="22" spans="2:21" ht="102.75" customHeight="1" x14ac:dyDescent="0.2">
      <c r="B22" s="96" t="s">
        <v>1384</v>
      </c>
      <c r="C22" s="97"/>
      <c r="D22" s="97"/>
      <c r="E22" s="97"/>
      <c r="F22" s="97"/>
      <c r="G22" s="97"/>
      <c r="H22" s="97"/>
      <c r="I22" s="97"/>
      <c r="J22" s="97"/>
      <c r="K22" s="97"/>
      <c r="L22" s="97"/>
      <c r="M22" s="97"/>
      <c r="N22" s="97"/>
      <c r="O22" s="97"/>
      <c r="P22" s="97"/>
      <c r="Q22" s="97"/>
      <c r="R22" s="97"/>
      <c r="S22" s="97"/>
      <c r="T22" s="97"/>
      <c r="U22" s="98"/>
    </row>
    <row r="23" spans="2:21" ht="160.35" customHeight="1" x14ac:dyDescent="0.2">
      <c r="B23" s="96" t="s">
        <v>1385</v>
      </c>
      <c r="C23" s="97"/>
      <c r="D23" s="97"/>
      <c r="E23" s="97"/>
      <c r="F23" s="97"/>
      <c r="G23" s="97"/>
      <c r="H23" s="97"/>
      <c r="I23" s="97"/>
      <c r="J23" s="97"/>
      <c r="K23" s="97"/>
      <c r="L23" s="97"/>
      <c r="M23" s="97"/>
      <c r="N23" s="97"/>
      <c r="O23" s="97"/>
      <c r="P23" s="97"/>
      <c r="Q23" s="97"/>
      <c r="R23" s="97"/>
      <c r="S23" s="97"/>
      <c r="T23" s="97"/>
      <c r="U23" s="98"/>
    </row>
    <row r="24" spans="2:21" ht="102.75" customHeight="1" x14ac:dyDescent="0.2">
      <c r="B24" s="96" t="s">
        <v>1386</v>
      </c>
      <c r="C24" s="97"/>
      <c r="D24" s="97"/>
      <c r="E24" s="97"/>
      <c r="F24" s="97"/>
      <c r="G24" s="97"/>
      <c r="H24" s="97"/>
      <c r="I24" s="97"/>
      <c r="J24" s="97"/>
      <c r="K24" s="97"/>
      <c r="L24" s="97"/>
      <c r="M24" s="97"/>
      <c r="N24" s="97"/>
      <c r="O24" s="97"/>
      <c r="P24" s="97"/>
      <c r="Q24" s="97"/>
      <c r="R24" s="97"/>
      <c r="S24" s="97"/>
      <c r="T24" s="97"/>
      <c r="U24" s="98"/>
    </row>
    <row r="25" spans="2:21" ht="92.25" customHeight="1" thickBot="1" x14ac:dyDescent="0.25">
      <c r="B25" s="99" t="s">
        <v>1387</v>
      </c>
      <c r="C25" s="100"/>
      <c r="D25" s="100"/>
      <c r="E25" s="100"/>
      <c r="F25" s="100"/>
      <c r="G25" s="100"/>
      <c r="H25" s="100"/>
      <c r="I25" s="100"/>
      <c r="J25" s="100"/>
      <c r="K25" s="100"/>
      <c r="L25" s="100"/>
      <c r="M25" s="100"/>
      <c r="N25" s="100"/>
      <c r="O25" s="100"/>
      <c r="P25" s="100"/>
      <c r="Q25" s="100"/>
      <c r="R25" s="100"/>
      <c r="S25" s="100"/>
      <c r="T25" s="100"/>
      <c r="U25" s="101"/>
    </row>
  </sheetData>
  <mergeCells count="40">
    <mergeCell ref="B22:U22"/>
    <mergeCell ref="B23:U23"/>
    <mergeCell ref="B24:U24"/>
    <mergeCell ref="B25:U25"/>
    <mergeCell ref="C14:H14"/>
    <mergeCell ref="I14:K14"/>
    <mergeCell ref="L14:O14"/>
    <mergeCell ref="B18:D18"/>
    <mergeCell ref="B19:D19"/>
    <mergeCell ref="B21:U21"/>
    <mergeCell ref="C12:H12"/>
    <mergeCell ref="I12:K12"/>
    <mergeCell ref="L12:O12"/>
    <mergeCell ref="C13:H13"/>
    <mergeCell ref="I13:K13"/>
    <mergeCell ref="L13:O13"/>
    <mergeCell ref="C11:H11"/>
    <mergeCell ref="I11:K11"/>
    <mergeCell ref="L11:O11"/>
    <mergeCell ref="C6:G6"/>
    <mergeCell ref="K6:M6"/>
    <mergeCell ref="P6:Q6"/>
    <mergeCell ref="T6:U6"/>
    <mergeCell ref="B8:B10"/>
    <mergeCell ref="C8:H10"/>
    <mergeCell ref="I8:S8"/>
    <mergeCell ref="T8:U8"/>
    <mergeCell ref="I9:K10"/>
    <mergeCell ref="L9:O10"/>
    <mergeCell ref="P9:P10"/>
    <mergeCell ref="Q9:Q10"/>
    <mergeCell ref="R9:S9"/>
    <mergeCell ref="T9:T10"/>
    <mergeCell ref="U9:U10"/>
    <mergeCell ref="B5:U5"/>
    <mergeCell ref="B1:L1"/>
    <mergeCell ref="D4:H4"/>
    <mergeCell ref="L4:O4"/>
    <mergeCell ref="Q4:R4"/>
    <mergeCell ref="T4:U4"/>
  </mergeCells>
  <printOptions horizontalCentered="1"/>
  <pageMargins left="0.78740157480314965" right="0.78740157480314965" top="0.98425196850393704" bottom="0.98425196850393704" header="0" footer="0.39370078740157483"/>
  <pageSetup scale="60" fitToHeight="10" orientation="landscape" r:id="rId1"/>
  <headerFooter>
    <oddFooter>&amp;R&amp;P de &amp;N</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27"/>
  <sheetViews>
    <sheetView tabSelected="1" view="pageBreakPreview" topLeftCell="D7" zoomScale="80" zoomScaleNormal="80" zoomScaleSheetLayoutView="80" workbookViewId="0">
      <selection activeCell="T12" sqref="T12:U12"/>
    </sheetView>
  </sheetViews>
  <sheetFormatPr baseColWidth="10" defaultColWidth="10" defaultRowHeight="12.75" x14ac:dyDescent="0.2"/>
  <cols>
    <col min="1" max="1" width="3.5" style="1" customWidth="1"/>
    <col min="2" max="2" width="14.7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9.625" style="1" customWidth="1"/>
    <col min="19" max="19" width="13" style="1" customWidth="1"/>
    <col min="20" max="20" width="10.75" style="1" customWidth="1"/>
    <col min="21" max="21" width="11.37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2" s="2" customFormat="1" ht="48" customHeight="1" x14ac:dyDescent="0.2">
      <c r="B1" s="50" t="s">
        <v>0</v>
      </c>
      <c r="C1" s="50"/>
      <c r="D1" s="50"/>
      <c r="E1" s="50"/>
      <c r="F1" s="50"/>
      <c r="G1" s="50"/>
      <c r="H1" s="50"/>
      <c r="I1" s="50"/>
      <c r="J1" s="50"/>
      <c r="K1" s="50"/>
      <c r="L1" s="50"/>
      <c r="M1" s="3" t="s">
        <v>1</v>
      </c>
    </row>
    <row r="2" spans="1:22" ht="13.5" customHeight="1" thickBot="1" x14ac:dyDescent="0.25"/>
    <row r="3" spans="1:22" ht="13.5" customHeight="1" thickTop="1" thickBot="1" x14ac:dyDescent="0.25">
      <c r="B3" s="4" t="s">
        <v>5</v>
      </c>
      <c r="C3" s="5"/>
      <c r="D3" s="5"/>
      <c r="E3" s="5"/>
      <c r="F3" s="5"/>
      <c r="G3" s="5"/>
      <c r="H3" s="6"/>
      <c r="I3" s="6"/>
      <c r="J3" s="6"/>
      <c r="K3" s="6"/>
      <c r="L3" s="6"/>
      <c r="M3" s="6"/>
      <c r="N3" s="6"/>
      <c r="O3" s="6"/>
      <c r="P3" s="6"/>
      <c r="Q3" s="6"/>
      <c r="R3" s="6"/>
      <c r="S3" s="6"/>
      <c r="T3" s="6"/>
      <c r="U3" s="7"/>
    </row>
    <row r="4" spans="1:22" ht="51.75" customHeight="1" thickTop="1" x14ac:dyDescent="0.2">
      <c r="B4" s="8" t="s">
        <v>6</v>
      </c>
      <c r="C4" s="9" t="s">
        <v>1388</v>
      </c>
      <c r="D4" s="57" t="s">
        <v>1389</v>
      </c>
      <c r="E4" s="57"/>
      <c r="F4" s="57"/>
      <c r="G4" s="57"/>
      <c r="H4" s="57"/>
      <c r="I4" s="10"/>
      <c r="J4" s="11" t="s">
        <v>9</v>
      </c>
      <c r="K4" s="12" t="s">
        <v>10</v>
      </c>
      <c r="L4" s="58" t="s">
        <v>11</v>
      </c>
      <c r="M4" s="58"/>
      <c r="N4" s="58"/>
      <c r="O4" s="58"/>
      <c r="P4" s="11" t="s">
        <v>12</v>
      </c>
      <c r="Q4" s="58" t="s">
        <v>1390</v>
      </c>
      <c r="R4" s="58"/>
      <c r="S4" s="11" t="s">
        <v>14</v>
      </c>
      <c r="T4" s="58"/>
      <c r="U4" s="59"/>
    </row>
    <row r="5" spans="1:22" ht="15.75" customHeight="1" x14ac:dyDescent="0.2">
      <c r="B5" s="54" t="s">
        <v>15</v>
      </c>
      <c r="C5" s="55"/>
      <c r="D5" s="55"/>
      <c r="E5" s="55"/>
      <c r="F5" s="55"/>
      <c r="G5" s="55"/>
      <c r="H5" s="55"/>
      <c r="I5" s="55"/>
      <c r="J5" s="55"/>
      <c r="K5" s="55"/>
      <c r="L5" s="55"/>
      <c r="M5" s="55"/>
      <c r="N5" s="55"/>
      <c r="O5" s="55"/>
      <c r="P5" s="55"/>
      <c r="Q5" s="55"/>
      <c r="R5" s="55"/>
      <c r="S5" s="55"/>
      <c r="T5" s="55"/>
      <c r="U5" s="56"/>
    </row>
    <row r="6" spans="1:22" ht="37.5" customHeight="1" thickBot="1" x14ac:dyDescent="0.25">
      <c r="B6" s="13" t="s">
        <v>16</v>
      </c>
      <c r="C6" s="60" t="s">
        <v>17</v>
      </c>
      <c r="D6" s="60"/>
      <c r="E6" s="60"/>
      <c r="F6" s="60"/>
      <c r="G6" s="60"/>
      <c r="H6" s="14"/>
      <c r="I6" s="14"/>
      <c r="J6" s="14" t="s">
        <v>18</v>
      </c>
      <c r="K6" s="60" t="s">
        <v>19</v>
      </c>
      <c r="L6" s="60"/>
      <c r="M6" s="60"/>
      <c r="N6" s="15"/>
      <c r="O6" s="16" t="s">
        <v>20</v>
      </c>
      <c r="P6" s="60" t="s">
        <v>21</v>
      </c>
      <c r="Q6" s="60"/>
      <c r="R6" s="17"/>
      <c r="S6" s="16" t="s">
        <v>22</v>
      </c>
      <c r="T6" s="60" t="s">
        <v>23</v>
      </c>
      <c r="U6" s="61"/>
    </row>
    <row r="7" spans="1:22" ht="14.25" customHeight="1" thickTop="1" thickBot="1" x14ac:dyDescent="0.25">
      <c r="B7" s="4" t="s">
        <v>24</v>
      </c>
      <c r="C7" s="5"/>
      <c r="D7" s="5"/>
      <c r="E7" s="5"/>
      <c r="F7" s="5"/>
      <c r="G7" s="5"/>
      <c r="H7" s="6"/>
      <c r="I7" s="6"/>
      <c r="J7" s="6"/>
      <c r="K7" s="6"/>
      <c r="L7" s="6"/>
      <c r="M7" s="6"/>
      <c r="N7" s="6"/>
      <c r="O7" s="6"/>
      <c r="P7" s="6"/>
      <c r="Q7" s="6"/>
      <c r="R7" s="6"/>
      <c r="S7" s="6"/>
      <c r="T7" s="6"/>
      <c r="U7" s="7"/>
    </row>
    <row r="8" spans="1:22" ht="16.5" customHeight="1" thickTop="1" x14ac:dyDescent="0.2">
      <c r="B8" s="62" t="s">
        <v>25</v>
      </c>
      <c r="C8" s="65" t="s">
        <v>26</v>
      </c>
      <c r="D8" s="66"/>
      <c r="E8" s="66"/>
      <c r="F8" s="66"/>
      <c r="G8" s="66"/>
      <c r="H8" s="67"/>
      <c r="I8" s="74" t="s">
        <v>27</v>
      </c>
      <c r="J8" s="75"/>
      <c r="K8" s="75"/>
      <c r="L8" s="75"/>
      <c r="M8" s="75"/>
      <c r="N8" s="75"/>
      <c r="O8" s="75"/>
      <c r="P8" s="75"/>
      <c r="Q8" s="75"/>
      <c r="R8" s="75"/>
      <c r="S8" s="76"/>
      <c r="T8" s="77" t="s">
        <v>28</v>
      </c>
      <c r="U8" s="78"/>
    </row>
    <row r="9" spans="1:22" ht="19.5" customHeight="1" x14ac:dyDescent="0.2">
      <c r="B9" s="63"/>
      <c r="C9" s="68"/>
      <c r="D9" s="69"/>
      <c r="E9" s="69"/>
      <c r="F9" s="69"/>
      <c r="G9" s="69"/>
      <c r="H9" s="70"/>
      <c r="I9" s="79" t="s">
        <v>29</v>
      </c>
      <c r="J9" s="80"/>
      <c r="K9" s="80"/>
      <c r="L9" s="80" t="s">
        <v>30</v>
      </c>
      <c r="M9" s="80"/>
      <c r="N9" s="80"/>
      <c r="O9" s="80"/>
      <c r="P9" s="80" t="s">
        <v>31</v>
      </c>
      <c r="Q9" s="80" t="s">
        <v>32</v>
      </c>
      <c r="R9" s="83" t="s">
        <v>33</v>
      </c>
      <c r="S9" s="84"/>
      <c r="T9" s="80" t="s">
        <v>34</v>
      </c>
      <c r="U9" s="85" t="s">
        <v>35</v>
      </c>
    </row>
    <row r="10" spans="1:22" ht="26.25" customHeight="1" thickBot="1" x14ac:dyDescent="0.25">
      <c r="B10" s="64"/>
      <c r="C10" s="71"/>
      <c r="D10" s="72"/>
      <c r="E10" s="72"/>
      <c r="F10" s="72"/>
      <c r="G10" s="72"/>
      <c r="H10" s="73"/>
      <c r="I10" s="81"/>
      <c r="J10" s="82"/>
      <c r="K10" s="82"/>
      <c r="L10" s="82"/>
      <c r="M10" s="82"/>
      <c r="N10" s="82"/>
      <c r="O10" s="82"/>
      <c r="P10" s="82"/>
      <c r="Q10" s="82"/>
      <c r="R10" s="19" t="s">
        <v>36</v>
      </c>
      <c r="S10" s="20" t="s">
        <v>37</v>
      </c>
      <c r="T10" s="82"/>
      <c r="U10" s="86"/>
    </row>
    <row r="11" spans="1:22" ht="89.25" customHeight="1" thickTop="1" thickBot="1" x14ac:dyDescent="0.25">
      <c r="A11" s="21"/>
      <c r="B11" s="22" t="s">
        <v>38</v>
      </c>
      <c r="C11" s="87" t="s">
        <v>1391</v>
      </c>
      <c r="D11" s="87"/>
      <c r="E11" s="87"/>
      <c r="F11" s="87"/>
      <c r="G11" s="87"/>
      <c r="H11" s="87"/>
      <c r="I11" s="87" t="s">
        <v>1392</v>
      </c>
      <c r="J11" s="87"/>
      <c r="K11" s="87"/>
      <c r="L11" s="87" t="s">
        <v>1393</v>
      </c>
      <c r="M11" s="87"/>
      <c r="N11" s="87"/>
      <c r="O11" s="87"/>
      <c r="P11" s="23" t="s">
        <v>1219</v>
      </c>
      <c r="Q11" s="23" t="s">
        <v>43</v>
      </c>
      <c r="R11" s="23">
        <v>69.73</v>
      </c>
      <c r="S11" s="23">
        <v>69.73</v>
      </c>
      <c r="T11" s="23">
        <v>71.540000000000006</v>
      </c>
      <c r="U11" s="45">
        <f>102.6</f>
        <v>102.6</v>
      </c>
    </row>
    <row r="12" spans="1:22" ht="75" customHeight="1" thickTop="1" thickBot="1" x14ac:dyDescent="0.25">
      <c r="A12" s="21"/>
      <c r="B12" s="22" t="s">
        <v>44</v>
      </c>
      <c r="C12" s="87" t="s">
        <v>1394</v>
      </c>
      <c r="D12" s="87"/>
      <c r="E12" s="87"/>
      <c r="F12" s="87"/>
      <c r="G12" s="87"/>
      <c r="H12" s="87"/>
      <c r="I12" s="87" t="s">
        <v>1395</v>
      </c>
      <c r="J12" s="87"/>
      <c r="K12" s="87"/>
      <c r="L12" s="87" t="s">
        <v>1396</v>
      </c>
      <c r="M12" s="87"/>
      <c r="N12" s="87"/>
      <c r="O12" s="87"/>
      <c r="P12" s="23" t="s">
        <v>198</v>
      </c>
      <c r="Q12" s="23" t="s">
        <v>43</v>
      </c>
      <c r="R12" s="23">
        <v>3.5</v>
      </c>
      <c r="S12" s="23">
        <v>3.5</v>
      </c>
      <c r="T12" s="104">
        <v>6.69</v>
      </c>
      <c r="U12" s="105">
        <v>191.14</v>
      </c>
    </row>
    <row r="13" spans="1:22" ht="75" customHeight="1" thickTop="1" thickBot="1" x14ac:dyDescent="0.25">
      <c r="A13" s="21"/>
      <c r="B13" s="22" t="s">
        <v>50</v>
      </c>
      <c r="C13" s="87" t="s">
        <v>1397</v>
      </c>
      <c r="D13" s="87"/>
      <c r="E13" s="87"/>
      <c r="F13" s="87"/>
      <c r="G13" s="87"/>
      <c r="H13" s="87"/>
      <c r="I13" s="87" t="s">
        <v>1398</v>
      </c>
      <c r="J13" s="87"/>
      <c r="K13" s="87"/>
      <c r="L13" s="87" t="s">
        <v>1399</v>
      </c>
      <c r="M13" s="87"/>
      <c r="N13" s="87"/>
      <c r="O13" s="87"/>
      <c r="P13" s="23" t="s">
        <v>1400</v>
      </c>
      <c r="Q13" s="23" t="s">
        <v>43</v>
      </c>
      <c r="R13" s="23">
        <v>100</v>
      </c>
      <c r="S13" s="23">
        <v>100</v>
      </c>
      <c r="T13" s="23">
        <v>143.97</v>
      </c>
      <c r="U13" s="45">
        <f>143.97</f>
        <v>143.97</v>
      </c>
    </row>
    <row r="14" spans="1:22" ht="75" customHeight="1" thickTop="1" x14ac:dyDescent="0.2">
      <c r="A14" s="21"/>
      <c r="B14" s="22" t="s">
        <v>61</v>
      </c>
      <c r="C14" s="87" t="s">
        <v>1401</v>
      </c>
      <c r="D14" s="87"/>
      <c r="E14" s="87"/>
      <c r="F14" s="87"/>
      <c r="G14" s="87"/>
      <c r="H14" s="87"/>
      <c r="I14" s="87" t="s">
        <v>1402</v>
      </c>
      <c r="J14" s="87"/>
      <c r="K14" s="87"/>
      <c r="L14" s="87" t="s">
        <v>1403</v>
      </c>
      <c r="M14" s="87"/>
      <c r="N14" s="87"/>
      <c r="O14" s="87"/>
      <c r="P14" s="23" t="s">
        <v>1404</v>
      </c>
      <c r="Q14" s="23" t="s">
        <v>71</v>
      </c>
      <c r="R14" s="23">
        <v>100</v>
      </c>
      <c r="S14" s="23">
        <v>100</v>
      </c>
      <c r="T14" s="23">
        <v>90.63</v>
      </c>
      <c r="U14" s="45">
        <f>90.63</f>
        <v>90.63</v>
      </c>
    </row>
    <row r="15" spans="1:22" ht="75" customHeight="1" thickBot="1" x14ac:dyDescent="0.25">
      <c r="A15" s="21"/>
      <c r="B15" s="24" t="s">
        <v>55</v>
      </c>
      <c r="C15" s="88" t="s">
        <v>1405</v>
      </c>
      <c r="D15" s="88"/>
      <c r="E15" s="88"/>
      <c r="F15" s="88"/>
      <c r="G15" s="88"/>
      <c r="H15" s="88"/>
      <c r="I15" s="88" t="s">
        <v>1406</v>
      </c>
      <c r="J15" s="88"/>
      <c r="K15" s="88"/>
      <c r="L15" s="88" t="s">
        <v>1407</v>
      </c>
      <c r="M15" s="88"/>
      <c r="N15" s="88"/>
      <c r="O15" s="88"/>
      <c r="P15" s="25" t="s">
        <v>1408</v>
      </c>
      <c r="Q15" s="25" t="s">
        <v>999</v>
      </c>
      <c r="R15" s="25">
        <v>100</v>
      </c>
      <c r="S15" s="25">
        <v>100</v>
      </c>
      <c r="T15" s="25">
        <v>100</v>
      </c>
      <c r="U15" s="46">
        <f>100</f>
        <v>100</v>
      </c>
    </row>
    <row r="16" spans="1:22" ht="14.25" customHeight="1" thickTop="1" thickBot="1" x14ac:dyDescent="0.25">
      <c r="B16" s="4" t="s">
        <v>80</v>
      </c>
      <c r="C16" s="5"/>
      <c r="D16" s="5"/>
      <c r="E16" s="5"/>
      <c r="F16" s="5"/>
      <c r="G16" s="5"/>
      <c r="H16" s="6"/>
      <c r="I16" s="6"/>
      <c r="J16" s="6"/>
      <c r="K16" s="6"/>
      <c r="L16" s="6"/>
      <c r="M16" s="6"/>
      <c r="N16" s="6"/>
      <c r="O16" s="6"/>
      <c r="P16" s="6"/>
      <c r="Q16" s="6"/>
      <c r="R16" s="6"/>
      <c r="S16" s="6"/>
      <c r="T16" s="6"/>
      <c r="U16" s="7"/>
      <c r="V16" s="26"/>
    </row>
    <row r="17" spans="2:21" ht="26.25" customHeight="1" thickTop="1" x14ac:dyDescent="0.2">
      <c r="B17" s="27"/>
      <c r="C17" s="28"/>
      <c r="D17" s="28"/>
      <c r="E17" s="28"/>
      <c r="F17" s="28"/>
      <c r="G17" s="28"/>
      <c r="H17" s="29"/>
      <c r="I17" s="29"/>
      <c r="J17" s="29"/>
      <c r="K17" s="29"/>
      <c r="L17" s="29"/>
      <c r="M17" s="29"/>
      <c r="N17" s="29"/>
      <c r="O17" s="29"/>
      <c r="P17" s="29"/>
      <c r="Q17" s="29"/>
      <c r="R17" s="30"/>
      <c r="S17" s="31" t="s">
        <v>33</v>
      </c>
      <c r="T17" s="31" t="s">
        <v>81</v>
      </c>
      <c r="U17" s="18" t="s">
        <v>82</v>
      </c>
    </row>
    <row r="18" spans="2:21" ht="26.25" customHeight="1" thickBot="1" x14ac:dyDescent="0.25">
      <c r="B18" s="32"/>
      <c r="C18" s="33"/>
      <c r="D18" s="33"/>
      <c r="E18" s="33"/>
      <c r="F18" s="33"/>
      <c r="G18" s="33"/>
      <c r="H18" s="34"/>
      <c r="I18" s="34"/>
      <c r="J18" s="34"/>
      <c r="K18" s="34"/>
      <c r="L18" s="34"/>
      <c r="M18" s="34"/>
      <c r="N18" s="34"/>
      <c r="O18" s="34"/>
      <c r="P18" s="34"/>
      <c r="Q18" s="34"/>
      <c r="R18" s="34"/>
      <c r="S18" s="35" t="s">
        <v>83</v>
      </c>
      <c r="T18" s="36" t="s">
        <v>83</v>
      </c>
      <c r="U18" s="36" t="s">
        <v>84</v>
      </c>
    </row>
    <row r="19" spans="2:21" ht="13.5" customHeight="1" thickBot="1" x14ac:dyDescent="0.25">
      <c r="B19" s="92" t="s">
        <v>85</v>
      </c>
      <c r="C19" s="93"/>
      <c r="D19" s="93"/>
      <c r="E19" s="37"/>
      <c r="F19" s="37"/>
      <c r="G19" s="37"/>
      <c r="H19" s="38"/>
      <c r="I19" s="38"/>
      <c r="J19" s="38"/>
      <c r="K19" s="38"/>
      <c r="L19" s="38"/>
      <c r="M19" s="38"/>
      <c r="N19" s="38"/>
      <c r="O19" s="38"/>
      <c r="P19" s="39"/>
      <c r="Q19" s="39"/>
      <c r="R19" s="39"/>
      <c r="S19" s="48">
        <v>1800.0000010000001</v>
      </c>
      <c r="T19" s="48">
        <v>1166.3473358199999</v>
      </c>
      <c r="U19" s="49">
        <f>+IF(ISERR(T19/S19*100),"N/A",ROUND(T19/S19*100,1))</f>
        <v>64.8</v>
      </c>
    </row>
    <row r="20" spans="2:21" ht="13.5" customHeight="1" thickBot="1" x14ac:dyDescent="0.25">
      <c r="B20" s="94" t="s">
        <v>86</v>
      </c>
      <c r="C20" s="95"/>
      <c r="D20" s="95"/>
      <c r="E20" s="40"/>
      <c r="F20" s="40"/>
      <c r="G20" s="40"/>
      <c r="H20" s="41"/>
      <c r="I20" s="41"/>
      <c r="J20" s="41"/>
      <c r="K20" s="41"/>
      <c r="L20" s="41"/>
      <c r="M20" s="41"/>
      <c r="N20" s="41"/>
      <c r="O20" s="41"/>
      <c r="P20" s="42"/>
      <c r="Q20" s="42"/>
      <c r="R20" s="42"/>
      <c r="S20" s="48">
        <v>1166.3473358199999</v>
      </c>
      <c r="T20" s="48">
        <v>1166.3473358199999</v>
      </c>
      <c r="U20" s="49">
        <f>+IF(ISERR(T20/S20*100),"N/A",ROUND(T20/S20*100,1))</f>
        <v>100</v>
      </c>
    </row>
    <row r="21" spans="2:21" ht="14.85" customHeight="1" thickTop="1" thickBot="1" x14ac:dyDescent="0.25">
      <c r="B21" s="4" t="s">
        <v>87</v>
      </c>
      <c r="C21" s="5"/>
      <c r="D21" s="5"/>
      <c r="E21" s="5"/>
      <c r="F21" s="5"/>
      <c r="G21" s="5"/>
      <c r="H21" s="6"/>
      <c r="I21" s="6"/>
      <c r="J21" s="6"/>
      <c r="K21" s="6"/>
      <c r="L21" s="6"/>
      <c r="M21" s="6"/>
      <c r="N21" s="6"/>
      <c r="O21" s="6"/>
      <c r="P21" s="6"/>
      <c r="Q21" s="6"/>
      <c r="R21" s="6"/>
      <c r="S21" s="6"/>
      <c r="T21" s="6"/>
      <c r="U21" s="7"/>
    </row>
    <row r="22" spans="2:21" ht="44.25" customHeight="1" thickTop="1" x14ac:dyDescent="0.2">
      <c r="B22" s="89" t="s">
        <v>88</v>
      </c>
      <c r="C22" s="90"/>
      <c r="D22" s="90"/>
      <c r="E22" s="90"/>
      <c r="F22" s="90"/>
      <c r="G22" s="90"/>
      <c r="H22" s="90"/>
      <c r="I22" s="90"/>
      <c r="J22" s="90"/>
      <c r="K22" s="90"/>
      <c r="L22" s="90"/>
      <c r="M22" s="90"/>
      <c r="N22" s="90"/>
      <c r="O22" s="90"/>
      <c r="P22" s="90"/>
      <c r="Q22" s="90"/>
      <c r="R22" s="90"/>
      <c r="S22" s="90"/>
      <c r="T22" s="90"/>
      <c r="U22" s="91"/>
    </row>
    <row r="23" spans="2:21" ht="75" customHeight="1" x14ac:dyDescent="0.2">
      <c r="B23" s="96" t="s">
        <v>1409</v>
      </c>
      <c r="C23" s="97"/>
      <c r="D23" s="97"/>
      <c r="E23" s="97"/>
      <c r="F23" s="97"/>
      <c r="G23" s="97"/>
      <c r="H23" s="97"/>
      <c r="I23" s="97"/>
      <c r="J23" s="97"/>
      <c r="K23" s="97"/>
      <c r="L23" s="97"/>
      <c r="M23" s="97"/>
      <c r="N23" s="97"/>
      <c r="O23" s="97"/>
      <c r="P23" s="97"/>
      <c r="Q23" s="97"/>
      <c r="R23" s="97"/>
      <c r="S23" s="97"/>
      <c r="T23" s="97"/>
      <c r="U23" s="98"/>
    </row>
    <row r="24" spans="2:21" ht="88.5" customHeight="1" x14ac:dyDescent="0.2">
      <c r="B24" s="96" t="s">
        <v>1410</v>
      </c>
      <c r="C24" s="97"/>
      <c r="D24" s="97"/>
      <c r="E24" s="97"/>
      <c r="F24" s="97"/>
      <c r="G24" s="97"/>
      <c r="H24" s="97"/>
      <c r="I24" s="97"/>
      <c r="J24" s="97"/>
      <c r="K24" s="97"/>
      <c r="L24" s="97"/>
      <c r="M24" s="97"/>
      <c r="N24" s="97"/>
      <c r="O24" s="97"/>
      <c r="P24" s="97"/>
      <c r="Q24" s="97"/>
      <c r="R24" s="97"/>
      <c r="S24" s="97"/>
      <c r="T24" s="97"/>
      <c r="U24" s="98"/>
    </row>
    <row r="25" spans="2:21" ht="48.75" customHeight="1" x14ac:dyDescent="0.2">
      <c r="B25" s="96" t="s">
        <v>1411</v>
      </c>
      <c r="C25" s="97"/>
      <c r="D25" s="97"/>
      <c r="E25" s="97"/>
      <c r="F25" s="97"/>
      <c r="G25" s="97"/>
      <c r="H25" s="97"/>
      <c r="I25" s="97"/>
      <c r="J25" s="97"/>
      <c r="K25" s="97"/>
      <c r="L25" s="97"/>
      <c r="M25" s="97"/>
      <c r="N25" s="97"/>
      <c r="O25" s="97"/>
      <c r="P25" s="97"/>
      <c r="Q25" s="97"/>
      <c r="R25" s="97"/>
      <c r="S25" s="97"/>
      <c r="T25" s="97"/>
      <c r="U25" s="98"/>
    </row>
    <row r="26" spans="2:21" ht="52.5" customHeight="1" x14ac:dyDescent="0.2">
      <c r="B26" s="96" t="s">
        <v>1412</v>
      </c>
      <c r="C26" s="97"/>
      <c r="D26" s="97"/>
      <c r="E26" s="97"/>
      <c r="F26" s="97"/>
      <c r="G26" s="97"/>
      <c r="H26" s="97"/>
      <c r="I26" s="97"/>
      <c r="J26" s="97"/>
      <c r="K26" s="97"/>
      <c r="L26" s="97"/>
      <c r="M26" s="97"/>
      <c r="N26" s="97"/>
      <c r="O26" s="97"/>
      <c r="P26" s="97"/>
      <c r="Q26" s="97"/>
      <c r="R26" s="97"/>
      <c r="S26" s="97"/>
      <c r="T26" s="97"/>
      <c r="U26" s="98"/>
    </row>
    <row r="27" spans="2:21" ht="54.75" customHeight="1" thickBot="1" x14ac:dyDescent="0.25">
      <c r="B27" s="99" t="s">
        <v>1413</v>
      </c>
      <c r="C27" s="100"/>
      <c r="D27" s="100"/>
      <c r="E27" s="100"/>
      <c r="F27" s="100"/>
      <c r="G27" s="100"/>
      <c r="H27" s="100"/>
      <c r="I27" s="100"/>
      <c r="J27" s="100"/>
      <c r="K27" s="100"/>
      <c r="L27" s="100"/>
      <c r="M27" s="100"/>
      <c r="N27" s="100"/>
      <c r="O27" s="100"/>
      <c r="P27" s="100"/>
      <c r="Q27" s="100"/>
      <c r="R27" s="100"/>
      <c r="S27" s="100"/>
      <c r="T27" s="100"/>
      <c r="U27" s="101"/>
    </row>
  </sheetData>
  <mergeCells count="44">
    <mergeCell ref="B26:U26"/>
    <mergeCell ref="B27:U27"/>
    <mergeCell ref="B19:D19"/>
    <mergeCell ref="B20:D20"/>
    <mergeCell ref="B22:U22"/>
    <mergeCell ref="B23:U23"/>
    <mergeCell ref="B24:U24"/>
    <mergeCell ref="B25:U25"/>
    <mergeCell ref="C14:H14"/>
    <mergeCell ref="I14:K14"/>
    <mergeCell ref="L14:O14"/>
    <mergeCell ref="C15:H15"/>
    <mergeCell ref="I15:K15"/>
    <mergeCell ref="L15:O15"/>
    <mergeCell ref="C12:H12"/>
    <mergeCell ref="I12:K12"/>
    <mergeCell ref="L12:O12"/>
    <mergeCell ref="C13:H13"/>
    <mergeCell ref="I13:K13"/>
    <mergeCell ref="L13:O13"/>
    <mergeCell ref="C11:H11"/>
    <mergeCell ref="I11:K11"/>
    <mergeCell ref="L11:O11"/>
    <mergeCell ref="C6:G6"/>
    <mergeCell ref="K6:M6"/>
    <mergeCell ref="P6:Q6"/>
    <mergeCell ref="T6:U6"/>
    <mergeCell ref="B8:B10"/>
    <mergeCell ref="C8:H10"/>
    <mergeCell ref="I8:S8"/>
    <mergeCell ref="T8:U8"/>
    <mergeCell ref="I9:K10"/>
    <mergeCell ref="L9:O10"/>
    <mergeCell ref="P9:P10"/>
    <mergeCell ref="Q9:Q10"/>
    <mergeCell ref="R9:S9"/>
    <mergeCell ref="T9:T10"/>
    <mergeCell ref="U9:U10"/>
    <mergeCell ref="B5:U5"/>
    <mergeCell ref="B1:L1"/>
    <mergeCell ref="D4:H4"/>
    <mergeCell ref="L4:O4"/>
    <mergeCell ref="Q4:R4"/>
    <mergeCell ref="T4:U4"/>
  </mergeCells>
  <printOptions horizontalCentered="1"/>
  <pageMargins left="0.78740157480314965" right="0.78740157480314965" top="0.98425196850393704" bottom="0.98425196850393704" header="0" footer="0.39370078740157483"/>
  <pageSetup scale="60" fitToHeight="10" orientation="landscape" r:id="rId1"/>
  <headerFooter>
    <oddFooter>&amp;R&amp;P de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33"/>
  <sheetViews>
    <sheetView view="pageBreakPreview" topLeftCell="A7" zoomScale="80" zoomScaleNormal="80" zoomScaleSheetLayoutView="80" workbookViewId="0">
      <selection activeCell="R11" sqref="R11:U11"/>
    </sheetView>
  </sheetViews>
  <sheetFormatPr baseColWidth="10" defaultColWidth="10" defaultRowHeight="12.75" x14ac:dyDescent="0.2"/>
  <cols>
    <col min="1" max="1" width="3.5" style="1" customWidth="1"/>
    <col min="2" max="2" width="14.7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9.625" style="1" customWidth="1"/>
    <col min="19" max="19" width="13" style="1" customWidth="1"/>
    <col min="20" max="20" width="10.75" style="1" customWidth="1"/>
    <col min="21" max="21" width="11.37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50" t="s">
        <v>0</v>
      </c>
      <c r="C1" s="50"/>
      <c r="D1" s="50"/>
      <c r="E1" s="50"/>
      <c r="F1" s="50"/>
      <c r="G1" s="50"/>
      <c r="H1" s="50"/>
      <c r="I1" s="50"/>
      <c r="J1" s="50"/>
      <c r="K1" s="50"/>
      <c r="L1" s="50"/>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51.75" customHeight="1" thickTop="1" x14ac:dyDescent="0.2">
      <c r="B4" s="8" t="s">
        <v>6</v>
      </c>
      <c r="C4" s="9" t="s">
        <v>145</v>
      </c>
      <c r="D4" s="57" t="s">
        <v>146</v>
      </c>
      <c r="E4" s="57"/>
      <c r="F4" s="57"/>
      <c r="G4" s="57"/>
      <c r="H4" s="57"/>
      <c r="I4" s="10"/>
      <c r="J4" s="11" t="s">
        <v>9</v>
      </c>
      <c r="K4" s="12" t="s">
        <v>10</v>
      </c>
      <c r="L4" s="58" t="s">
        <v>11</v>
      </c>
      <c r="M4" s="58"/>
      <c r="N4" s="58"/>
      <c r="O4" s="58"/>
      <c r="P4" s="11" t="s">
        <v>12</v>
      </c>
      <c r="Q4" s="58" t="s">
        <v>147</v>
      </c>
      <c r="R4" s="58"/>
      <c r="S4" s="11" t="s">
        <v>14</v>
      </c>
      <c r="T4" s="58"/>
      <c r="U4" s="59"/>
    </row>
    <row r="5" spans="1:21" ht="15.75" customHeight="1" x14ac:dyDescent="0.2">
      <c r="B5" s="54" t="s">
        <v>15</v>
      </c>
      <c r="C5" s="55"/>
      <c r="D5" s="55"/>
      <c r="E5" s="55"/>
      <c r="F5" s="55"/>
      <c r="G5" s="55"/>
      <c r="H5" s="55"/>
      <c r="I5" s="55"/>
      <c r="J5" s="55"/>
      <c r="K5" s="55"/>
      <c r="L5" s="55"/>
      <c r="M5" s="55"/>
      <c r="N5" s="55"/>
      <c r="O5" s="55"/>
      <c r="P5" s="55"/>
      <c r="Q5" s="55"/>
      <c r="R5" s="55"/>
      <c r="S5" s="55"/>
      <c r="T5" s="55"/>
      <c r="U5" s="56"/>
    </row>
    <row r="6" spans="1:21" ht="37.5" customHeight="1" thickBot="1" x14ac:dyDescent="0.25">
      <c r="B6" s="13" t="s">
        <v>16</v>
      </c>
      <c r="C6" s="60" t="s">
        <v>17</v>
      </c>
      <c r="D6" s="60"/>
      <c r="E6" s="60"/>
      <c r="F6" s="60"/>
      <c r="G6" s="60"/>
      <c r="H6" s="14"/>
      <c r="I6" s="14"/>
      <c r="J6" s="14" t="s">
        <v>18</v>
      </c>
      <c r="K6" s="60" t="s">
        <v>19</v>
      </c>
      <c r="L6" s="60"/>
      <c r="M6" s="60"/>
      <c r="N6" s="15"/>
      <c r="O6" s="16" t="s">
        <v>20</v>
      </c>
      <c r="P6" s="60" t="s">
        <v>148</v>
      </c>
      <c r="Q6" s="60"/>
      <c r="R6" s="17"/>
      <c r="S6" s="16" t="s">
        <v>22</v>
      </c>
      <c r="T6" s="60" t="s">
        <v>149</v>
      </c>
      <c r="U6" s="61"/>
    </row>
    <row r="7" spans="1:21" ht="14.25" customHeight="1" thickTop="1" thickBot="1" x14ac:dyDescent="0.25">
      <c r="B7" s="4" t="s">
        <v>24</v>
      </c>
      <c r="C7" s="5"/>
      <c r="D7" s="5"/>
      <c r="E7" s="5"/>
      <c r="F7" s="5"/>
      <c r="G7" s="5"/>
      <c r="H7" s="6"/>
      <c r="I7" s="6"/>
      <c r="J7" s="6"/>
      <c r="K7" s="6"/>
      <c r="L7" s="6"/>
      <c r="M7" s="6"/>
      <c r="N7" s="6"/>
      <c r="O7" s="6"/>
      <c r="P7" s="6"/>
      <c r="Q7" s="6"/>
      <c r="R7" s="6"/>
      <c r="S7" s="6"/>
      <c r="T7" s="6"/>
      <c r="U7" s="7"/>
    </row>
    <row r="8" spans="1:21" ht="16.5" customHeight="1" thickTop="1" x14ac:dyDescent="0.2">
      <c r="B8" s="62" t="s">
        <v>25</v>
      </c>
      <c r="C8" s="65" t="s">
        <v>26</v>
      </c>
      <c r="D8" s="66"/>
      <c r="E8" s="66"/>
      <c r="F8" s="66"/>
      <c r="G8" s="66"/>
      <c r="H8" s="67"/>
      <c r="I8" s="74" t="s">
        <v>27</v>
      </c>
      <c r="J8" s="75"/>
      <c r="K8" s="75"/>
      <c r="L8" s="75"/>
      <c r="M8" s="75"/>
      <c r="N8" s="75"/>
      <c r="O8" s="75"/>
      <c r="P8" s="75"/>
      <c r="Q8" s="75"/>
      <c r="R8" s="75"/>
      <c r="S8" s="76"/>
      <c r="T8" s="77" t="s">
        <v>28</v>
      </c>
      <c r="U8" s="78"/>
    </row>
    <row r="9" spans="1:21" ht="19.5" customHeight="1" x14ac:dyDescent="0.2">
      <c r="B9" s="63"/>
      <c r="C9" s="68"/>
      <c r="D9" s="69"/>
      <c r="E9" s="69"/>
      <c r="F9" s="69"/>
      <c r="G9" s="69"/>
      <c r="H9" s="70"/>
      <c r="I9" s="79" t="s">
        <v>29</v>
      </c>
      <c r="J9" s="80"/>
      <c r="K9" s="80"/>
      <c r="L9" s="80" t="s">
        <v>30</v>
      </c>
      <c r="M9" s="80"/>
      <c r="N9" s="80"/>
      <c r="O9" s="80"/>
      <c r="P9" s="80" t="s">
        <v>31</v>
      </c>
      <c r="Q9" s="80" t="s">
        <v>32</v>
      </c>
      <c r="R9" s="83" t="s">
        <v>33</v>
      </c>
      <c r="S9" s="84"/>
      <c r="T9" s="80" t="s">
        <v>34</v>
      </c>
      <c r="U9" s="85" t="s">
        <v>35</v>
      </c>
    </row>
    <row r="10" spans="1:21" ht="26.25" customHeight="1" thickBot="1" x14ac:dyDescent="0.25">
      <c r="B10" s="64"/>
      <c r="C10" s="71"/>
      <c r="D10" s="72"/>
      <c r="E10" s="72"/>
      <c r="F10" s="72"/>
      <c r="G10" s="72"/>
      <c r="H10" s="73"/>
      <c r="I10" s="81"/>
      <c r="J10" s="82"/>
      <c r="K10" s="82"/>
      <c r="L10" s="82"/>
      <c r="M10" s="82"/>
      <c r="N10" s="82"/>
      <c r="O10" s="82"/>
      <c r="P10" s="82"/>
      <c r="Q10" s="82"/>
      <c r="R10" s="19" t="s">
        <v>36</v>
      </c>
      <c r="S10" s="20" t="s">
        <v>37</v>
      </c>
      <c r="T10" s="82"/>
      <c r="U10" s="86"/>
    </row>
    <row r="11" spans="1:21" ht="145.5" customHeight="1" thickTop="1" thickBot="1" x14ac:dyDescent="0.25">
      <c r="A11" s="21"/>
      <c r="B11" s="22" t="s">
        <v>38</v>
      </c>
      <c r="C11" s="87" t="s">
        <v>150</v>
      </c>
      <c r="D11" s="87"/>
      <c r="E11" s="87"/>
      <c r="F11" s="87"/>
      <c r="G11" s="87"/>
      <c r="H11" s="87"/>
      <c r="I11" s="87" t="s">
        <v>151</v>
      </c>
      <c r="J11" s="87"/>
      <c r="K11" s="87"/>
      <c r="L11" s="87" t="s">
        <v>152</v>
      </c>
      <c r="M11" s="87"/>
      <c r="N11" s="87"/>
      <c r="O11" s="87"/>
      <c r="P11" s="23" t="s">
        <v>48</v>
      </c>
      <c r="Q11" s="23" t="s">
        <v>49</v>
      </c>
      <c r="R11" s="23">
        <v>74.31</v>
      </c>
      <c r="S11" s="23">
        <v>74.31</v>
      </c>
      <c r="T11" s="23">
        <v>84.53</v>
      </c>
      <c r="U11" s="45">
        <f>113.75</f>
        <v>113.75</v>
      </c>
    </row>
    <row r="12" spans="1:21" ht="116.25" customHeight="1" thickTop="1" thickBot="1" x14ac:dyDescent="0.25">
      <c r="A12" s="21"/>
      <c r="B12" s="22" t="s">
        <v>44</v>
      </c>
      <c r="C12" s="87" t="s">
        <v>153</v>
      </c>
      <c r="D12" s="87"/>
      <c r="E12" s="87"/>
      <c r="F12" s="87"/>
      <c r="G12" s="87"/>
      <c r="H12" s="87"/>
      <c r="I12" s="87" t="s">
        <v>154</v>
      </c>
      <c r="J12" s="87"/>
      <c r="K12" s="87"/>
      <c r="L12" s="87" t="s">
        <v>155</v>
      </c>
      <c r="M12" s="87"/>
      <c r="N12" s="87"/>
      <c r="O12" s="87"/>
      <c r="P12" s="23" t="s">
        <v>156</v>
      </c>
      <c r="Q12" s="23" t="s">
        <v>49</v>
      </c>
      <c r="R12" s="23">
        <v>5.29</v>
      </c>
      <c r="S12" s="23">
        <v>8.39</v>
      </c>
      <c r="T12" s="23">
        <v>78.69</v>
      </c>
      <c r="U12" s="45">
        <v>102.9</v>
      </c>
    </row>
    <row r="13" spans="1:21" ht="119.25" customHeight="1" thickTop="1" x14ac:dyDescent="0.2">
      <c r="A13" s="21"/>
      <c r="B13" s="22" t="s">
        <v>50</v>
      </c>
      <c r="C13" s="87" t="s">
        <v>157</v>
      </c>
      <c r="D13" s="87"/>
      <c r="E13" s="87"/>
      <c r="F13" s="87"/>
      <c r="G13" s="87"/>
      <c r="H13" s="87"/>
      <c r="I13" s="87" t="s">
        <v>158</v>
      </c>
      <c r="J13" s="87"/>
      <c r="K13" s="87"/>
      <c r="L13" s="87" t="s">
        <v>159</v>
      </c>
      <c r="M13" s="87"/>
      <c r="N13" s="87"/>
      <c r="O13" s="87"/>
      <c r="P13" s="23" t="s">
        <v>48</v>
      </c>
      <c r="Q13" s="23" t="s">
        <v>160</v>
      </c>
      <c r="R13" s="23">
        <v>75.81</v>
      </c>
      <c r="S13" s="23">
        <v>74.8</v>
      </c>
      <c r="T13" s="23">
        <v>105.36</v>
      </c>
      <c r="U13" s="45">
        <f>140.85</f>
        <v>140.85</v>
      </c>
    </row>
    <row r="14" spans="1:21" ht="75" customHeight="1" thickBot="1" x14ac:dyDescent="0.25">
      <c r="A14" s="21"/>
      <c r="B14" s="24" t="s">
        <v>55</v>
      </c>
      <c r="C14" s="88" t="s">
        <v>55</v>
      </c>
      <c r="D14" s="88"/>
      <c r="E14" s="88"/>
      <c r="F14" s="88"/>
      <c r="G14" s="88"/>
      <c r="H14" s="88"/>
      <c r="I14" s="88" t="s">
        <v>161</v>
      </c>
      <c r="J14" s="88"/>
      <c r="K14" s="88"/>
      <c r="L14" s="88" t="s">
        <v>162</v>
      </c>
      <c r="M14" s="88"/>
      <c r="N14" s="88"/>
      <c r="O14" s="88"/>
      <c r="P14" s="25" t="s">
        <v>48</v>
      </c>
      <c r="Q14" s="25" t="s">
        <v>163</v>
      </c>
      <c r="R14" s="25">
        <v>66.849999999999994</v>
      </c>
      <c r="S14" s="25">
        <v>63.97</v>
      </c>
      <c r="T14" s="25">
        <v>68.709999999999994</v>
      </c>
      <c r="U14" s="46">
        <f>107.4</f>
        <v>107.4</v>
      </c>
    </row>
    <row r="15" spans="1:21" ht="125.25" customHeight="1" thickTop="1" x14ac:dyDescent="0.2">
      <c r="A15" s="21"/>
      <c r="B15" s="22" t="s">
        <v>61</v>
      </c>
      <c r="C15" s="87" t="s">
        <v>164</v>
      </c>
      <c r="D15" s="87"/>
      <c r="E15" s="87"/>
      <c r="F15" s="87"/>
      <c r="G15" s="87"/>
      <c r="H15" s="87"/>
      <c r="I15" s="87" t="s">
        <v>165</v>
      </c>
      <c r="J15" s="87"/>
      <c r="K15" s="87"/>
      <c r="L15" s="87" t="s">
        <v>166</v>
      </c>
      <c r="M15" s="87"/>
      <c r="N15" s="87"/>
      <c r="O15" s="87"/>
      <c r="P15" s="23" t="s">
        <v>48</v>
      </c>
      <c r="Q15" s="23" t="s">
        <v>167</v>
      </c>
      <c r="R15" s="23">
        <v>65.08</v>
      </c>
      <c r="S15" s="23">
        <v>64.930000000000007</v>
      </c>
      <c r="T15" s="23">
        <v>68.069999999999993</v>
      </c>
      <c r="U15" s="45">
        <f>104.83</f>
        <v>104.83</v>
      </c>
    </row>
    <row r="16" spans="1:21" ht="104.25" customHeight="1" x14ac:dyDescent="0.2">
      <c r="A16" s="21"/>
      <c r="B16" s="24" t="s">
        <v>55</v>
      </c>
      <c r="C16" s="88" t="s">
        <v>168</v>
      </c>
      <c r="D16" s="88"/>
      <c r="E16" s="88"/>
      <c r="F16" s="88"/>
      <c r="G16" s="88"/>
      <c r="H16" s="88"/>
      <c r="I16" s="88" t="s">
        <v>169</v>
      </c>
      <c r="J16" s="88"/>
      <c r="K16" s="88"/>
      <c r="L16" s="88" t="s">
        <v>170</v>
      </c>
      <c r="M16" s="88"/>
      <c r="N16" s="88"/>
      <c r="O16" s="88"/>
      <c r="P16" s="25" t="s">
        <v>48</v>
      </c>
      <c r="Q16" s="25" t="s">
        <v>66</v>
      </c>
      <c r="R16" s="25">
        <v>23.89</v>
      </c>
      <c r="S16" s="25">
        <v>23.89</v>
      </c>
      <c r="T16" s="25">
        <v>88.98</v>
      </c>
      <c r="U16" s="46">
        <f>372.45</f>
        <v>372.45</v>
      </c>
    </row>
    <row r="17" spans="1:22" ht="93.75" customHeight="1" x14ac:dyDescent="0.2">
      <c r="A17" s="21"/>
      <c r="B17" s="24" t="s">
        <v>55</v>
      </c>
      <c r="C17" s="88" t="s">
        <v>55</v>
      </c>
      <c r="D17" s="88"/>
      <c r="E17" s="88"/>
      <c r="F17" s="88"/>
      <c r="G17" s="88"/>
      <c r="H17" s="88"/>
      <c r="I17" s="88" t="s">
        <v>171</v>
      </c>
      <c r="J17" s="88"/>
      <c r="K17" s="88"/>
      <c r="L17" s="88" t="s">
        <v>172</v>
      </c>
      <c r="M17" s="88"/>
      <c r="N17" s="88"/>
      <c r="O17" s="88"/>
      <c r="P17" s="25" t="s">
        <v>48</v>
      </c>
      <c r="Q17" s="25" t="s">
        <v>66</v>
      </c>
      <c r="R17" s="25">
        <v>3.46</v>
      </c>
      <c r="S17" s="25">
        <v>3.46</v>
      </c>
      <c r="T17" s="25">
        <v>4.71</v>
      </c>
      <c r="U17" s="46">
        <f>136.13</f>
        <v>136.13</v>
      </c>
    </row>
    <row r="18" spans="1:22" ht="75" customHeight="1" thickBot="1" x14ac:dyDescent="0.25">
      <c r="A18" s="21"/>
      <c r="B18" s="24" t="s">
        <v>55</v>
      </c>
      <c r="C18" s="88" t="s">
        <v>173</v>
      </c>
      <c r="D18" s="88"/>
      <c r="E18" s="88"/>
      <c r="F18" s="88"/>
      <c r="G18" s="88"/>
      <c r="H18" s="88"/>
      <c r="I18" s="88" t="s">
        <v>174</v>
      </c>
      <c r="J18" s="88"/>
      <c r="K18" s="88"/>
      <c r="L18" s="88" t="s">
        <v>175</v>
      </c>
      <c r="M18" s="88"/>
      <c r="N18" s="88"/>
      <c r="O18" s="88"/>
      <c r="P18" s="25" t="s">
        <v>176</v>
      </c>
      <c r="Q18" s="25" t="s">
        <v>167</v>
      </c>
      <c r="R18" s="43">
        <v>6456</v>
      </c>
      <c r="S18" s="43">
        <v>6442</v>
      </c>
      <c r="T18" s="43">
        <v>6800</v>
      </c>
      <c r="U18" s="46">
        <f>105.5</f>
        <v>105.5</v>
      </c>
    </row>
    <row r="19" spans="1:22" ht="14.25" customHeight="1" thickTop="1" thickBot="1" x14ac:dyDescent="0.25">
      <c r="B19" s="4" t="s">
        <v>80</v>
      </c>
      <c r="C19" s="5"/>
      <c r="D19" s="5"/>
      <c r="E19" s="5"/>
      <c r="F19" s="5"/>
      <c r="G19" s="5"/>
      <c r="H19" s="6"/>
      <c r="I19" s="6"/>
      <c r="J19" s="6"/>
      <c r="K19" s="6"/>
      <c r="L19" s="6"/>
      <c r="M19" s="6"/>
      <c r="N19" s="6"/>
      <c r="O19" s="6"/>
      <c r="P19" s="6"/>
      <c r="Q19" s="6"/>
      <c r="R19" s="6"/>
      <c r="S19" s="6"/>
      <c r="T19" s="6"/>
      <c r="U19" s="7"/>
      <c r="V19" s="26"/>
    </row>
    <row r="20" spans="1:22" ht="26.25" customHeight="1" thickTop="1" x14ac:dyDescent="0.2">
      <c r="B20" s="27"/>
      <c r="C20" s="28"/>
      <c r="D20" s="28"/>
      <c r="E20" s="28"/>
      <c r="F20" s="28"/>
      <c r="G20" s="28"/>
      <c r="H20" s="29"/>
      <c r="I20" s="29"/>
      <c r="J20" s="29"/>
      <c r="K20" s="29"/>
      <c r="L20" s="29"/>
      <c r="M20" s="29"/>
      <c r="N20" s="29"/>
      <c r="O20" s="29"/>
      <c r="P20" s="29"/>
      <c r="Q20" s="29"/>
      <c r="R20" s="30"/>
      <c r="S20" s="31" t="s">
        <v>33</v>
      </c>
      <c r="T20" s="31" t="s">
        <v>81</v>
      </c>
      <c r="U20" s="18" t="s">
        <v>82</v>
      </c>
    </row>
    <row r="21" spans="1:22" ht="26.25" customHeight="1" thickBot="1" x14ac:dyDescent="0.25">
      <c r="B21" s="32"/>
      <c r="C21" s="33"/>
      <c r="D21" s="33"/>
      <c r="E21" s="33"/>
      <c r="F21" s="33"/>
      <c r="G21" s="33"/>
      <c r="H21" s="34"/>
      <c r="I21" s="34"/>
      <c r="J21" s="34"/>
      <c r="K21" s="34"/>
      <c r="L21" s="34"/>
      <c r="M21" s="34"/>
      <c r="N21" s="34"/>
      <c r="O21" s="34"/>
      <c r="P21" s="34"/>
      <c r="Q21" s="34"/>
      <c r="R21" s="34"/>
      <c r="S21" s="35" t="s">
        <v>83</v>
      </c>
      <c r="T21" s="36" t="s">
        <v>83</v>
      </c>
      <c r="U21" s="36" t="s">
        <v>84</v>
      </c>
    </row>
    <row r="22" spans="1:22" ht="13.5" customHeight="1" thickBot="1" x14ac:dyDescent="0.25">
      <c r="B22" s="92" t="s">
        <v>85</v>
      </c>
      <c r="C22" s="93"/>
      <c r="D22" s="93"/>
      <c r="E22" s="37"/>
      <c r="F22" s="37"/>
      <c r="G22" s="37"/>
      <c r="H22" s="38"/>
      <c r="I22" s="38"/>
      <c r="J22" s="38"/>
      <c r="K22" s="38"/>
      <c r="L22" s="38"/>
      <c r="M22" s="38"/>
      <c r="N22" s="38"/>
      <c r="O22" s="38"/>
      <c r="P22" s="39"/>
      <c r="Q22" s="39"/>
      <c r="R22" s="39"/>
      <c r="S22" s="48">
        <v>37818.063887999997</v>
      </c>
      <c r="T22" s="48">
        <v>39427.603464359927</v>
      </c>
      <c r="U22" s="49">
        <f>+IF(ISERR(T22/S22*100),"N/A",ROUND(T22/S22*100,1))</f>
        <v>104.3</v>
      </c>
    </row>
    <row r="23" spans="1:22" ht="13.5" customHeight="1" thickBot="1" x14ac:dyDescent="0.25">
      <c r="B23" s="94" t="s">
        <v>86</v>
      </c>
      <c r="C23" s="95"/>
      <c r="D23" s="95"/>
      <c r="E23" s="40"/>
      <c r="F23" s="40"/>
      <c r="G23" s="40"/>
      <c r="H23" s="41"/>
      <c r="I23" s="41"/>
      <c r="J23" s="41"/>
      <c r="K23" s="41"/>
      <c r="L23" s="41"/>
      <c r="M23" s="41"/>
      <c r="N23" s="41"/>
      <c r="O23" s="41"/>
      <c r="P23" s="42"/>
      <c r="Q23" s="42"/>
      <c r="R23" s="42"/>
      <c r="S23" s="48">
        <v>39427.605831239918</v>
      </c>
      <c r="T23" s="48">
        <v>39427.603464359927</v>
      </c>
      <c r="U23" s="49">
        <f>+IF(ISERR(T23/S23*100),"N/A",ROUND(T23/S23*100,1))</f>
        <v>100</v>
      </c>
    </row>
    <row r="24" spans="1:22" ht="14.85" customHeight="1" thickTop="1" thickBot="1" x14ac:dyDescent="0.25">
      <c r="B24" s="4" t="s">
        <v>87</v>
      </c>
      <c r="C24" s="5"/>
      <c r="D24" s="5"/>
      <c r="E24" s="5"/>
      <c r="F24" s="5"/>
      <c r="G24" s="5"/>
      <c r="H24" s="6"/>
      <c r="I24" s="6"/>
      <c r="J24" s="6"/>
      <c r="K24" s="6"/>
      <c r="L24" s="6"/>
      <c r="M24" s="6"/>
      <c r="N24" s="6"/>
      <c r="O24" s="6"/>
      <c r="P24" s="6"/>
      <c r="Q24" s="6"/>
      <c r="R24" s="6"/>
      <c r="S24" s="6"/>
      <c r="T24" s="6"/>
      <c r="U24" s="7"/>
    </row>
    <row r="25" spans="1:22" ht="44.25" customHeight="1" thickTop="1" x14ac:dyDescent="0.2">
      <c r="B25" s="89" t="s">
        <v>88</v>
      </c>
      <c r="C25" s="90"/>
      <c r="D25" s="90"/>
      <c r="E25" s="90"/>
      <c r="F25" s="90"/>
      <c r="G25" s="90"/>
      <c r="H25" s="90"/>
      <c r="I25" s="90"/>
      <c r="J25" s="90"/>
      <c r="K25" s="90"/>
      <c r="L25" s="90"/>
      <c r="M25" s="90"/>
      <c r="N25" s="90"/>
      <c r="O25" s="90"/>
      <c r="P25" s="90"/>
      <c r="Q25" s="90"/>
      <c r="R25" s="90"/>
      <c r="S25" s="90"/>
      <c r="T25" s="90"/>
      <c r="U25" s="91"/>
    </row>
    <row r="26" spans="1:22" ht="285.75" customHeight="1" x14ac:dyDescent="0.2">
      <c r="B26" s="96" t="s">
        <v>178</v>
      </c>
      <c r="C26" s="97"/>
      <c r="D26" s="97"/>
      <c r="E26" s="97"/>
      <c r="F26" s="97"/>
      <c r="G26" s="97"/>
      <c r="H26" s="97"/>
      <c r="I26" s="97"/>
      <c r="J26" s="97"/>
      <c r="K26" s="97"/>
      <c r="L26" s="97"/>
      <c r="M26" s="97"/>
      <c r="N26" s="97"/>
      <c r="O26" s="97"/>
      <c r="P26" s="97"/>
      <c r="Q26" s="97"/>
      <c r="R26" s="97"/>
      <c r="S26" s="97"/>
      <c r="T26" s="97"/>
      <c r="U26" s="98"/>
    </row>
    <row r="27" spans="1:22" ht="275.25" customHeight="1" x14ac:dyDescent="0.2">
      <c r="B27" s="96" t="s">
        <v>179</v>
      </c>
      <c r="C27" s="97"/>
      <c r="D27" s="97"/>
      <c r="E27" s="97"/>
      <c r="F27" s="97"/>
      <c r="G27" s="97"/>
      <c r="H27" s="97"/>
      <c r="I27" s="97"/>
      <c r="J27" s="97"/>
      <c r="K27" s="97"/>
      <c r="L27" s="97"/>
      <c r="M27" s="97"/>
      <c r="N27" s="97"/>
      <c r="O27" s="97"/>
      <c r="P27" s="97"/>
      <c r="Q27" s="97"/>
      <c r="R27" s="97"/>
      <c r="S27" s="97"/>
      <c r="T27" s="97"/>
      <c r="U27" s="98"/>
    </row>
    <row r="28" spans="1:22" ht="261" customHeight="1" x14ac:dyDescent="0.2">
      <c r="B28" s="96" t="s">
        <v>180</v>
      </c>
      <c r="C28" s="97"/>
      <c r="D28" s="97"/>
      <c r="E28" s="97"/>
      <c r="F28" s="97"/>
      <c r="G28" s="97"/>
      <c r="H28" s="97"/>
      <c r="I28" s="97"/>
      <c r="J28" s="97"/>
      <c r="K28" s="97"/>
      <c r="L28" s="97"/>
      <c r="M28" s="97"/>
      <c r="N28" s="97"/>
      <c r="O28" s="97"/>
      <c r="P28" s="97"/>
      <c r="Q28" s="97"/>
      <c r="R28" s="97"/>
      <c r="S28" s="97"/>
      <c r="T28" s="97"/>
      <c r="U28" s="98"/>
    </row>
    <row r="29" spans="1:22" ht="274.5" customHeight="1" x14ac:dyDescent="0.2">
      <c r="B29" s="96" t="s">
        <v>181</v>
      </c>
      <c r="C29" s="97"/>
      <c r="D29" s="97"/>
      <c r="E29" s="97"/>
      <c r="F29" s="97"/>
      <c r="G29" s="97"/>
      <c r="H29" s="97"/>
      <c r="I29" s="97"/>
      <c r="J29" s="97"/>
      <c r="K29" s="97"/>
      <c r="L29" s="97"/>
      <c r="M29" s="97"/>
      <c r="N29" s="97"/>
      <c r="O29" s="97"/>
      <c r="P29" s="97"/>
      <c r="Q29" s="97"/>
      <c r="R29" s="97"/>
      <c r="S29" s="97"/>
      <c r="T29" s="97"/>
      <c r="U29" s="98"/>
    </row>
    <row r="30" spans="1:22" ht="258.95" customHeight="1" x14ac:dyDescent="0.2">
      <c r="B30" s="96" t="s">
        <v>182</v>
      </c>
      <c r="C30" s="97"/>
      <c r="D30" s="97"/>
      <c r="E30" s="97"/>
      <c r="F30" s="97"/>
      <c r="G30" s="97"/>
      <c r="H30" s="97"/>
      <c r="I30" s="97"/>
      <c r="J30" s="97"/>
      <c r="K30" s="97"/>
      <c r="L30" s="97"/>
      <c r="M30" s="97"/>
      <c r="N30" s="97"/>
      <c r="O30" s="97"/>
      <c r="P30" s="97"/>
      <c r="Q30" s="97"/>
      <c r="R30" s="97"/>
      <c r="S30" s="97"/>
      <c r="T30" s="97"/>
      <c r="U30" s="98"/>
    </row>
    <row r="31" spans="1:22" ht="62.85" customHeight="1" x14ac:dyDescent="0.2">
      <c r="B31" s="96" t="s">
        <v>183</v>
      </c>
      <c r="C31" s="97"/>
      <c r="D31" s="97"/>
      <c r="E31" s="97"/>
      <c r="F31" s="97"/>
      <c r="G31" s="97"/>
      <c r="H31" s="97"/>
      <c r="I31" s="97"/>
      <c r="J31" s="97"/>
      <c r="K31" s="97"/>
      <c r="L31" s="97"/>
      <c r="M31" s="97"/>
      <c r="N31" s="97"/>
      <c r="O31" s="97"/>
      <c r="P31" s="97"/>
      <c r="Q31" s="97"/>
      <c r="R31" s="97"/>
      <c r="S31" s="97"/>
      <c r="T31" s="97"/>
      <c r="U31" s="98"/>
    </row>
    <row r="32" spans="1:22" ht="61.5" customHeight="1" x14ac:dyDescent="0.2">
      <c r="B32" s="96" t="s">
        <v>184</v>
      </c>
      <c r="C32" s="97"/>
      <c r="D32" s="97"/>
      <c r="E32" s="97"/>
      <c r="F32" s="97"/>
      <c r="G32" s="97"/>
      <c r="H32" s="97"/>
      <c r="I32" s="97"/>
      <c r="J32" s="97"/>
      <c r="K32" s="97"/>
      <c r="L32" s="97"/>
      <c r="M32" s="97"/>
      <c r="N32" s="97"/>
      <c r="O32" s="97"/>
      <c r="P32" s="97"/>
      <c r="Q32" s="97"/>
      <c r="R32" s="97"/>
      <c r="S32" s="97"/>
      <c r="T32" s="97"/>
      <c r="U32" s="98"/>
    </row>
    <row r="33" spans="2:21" ht="256.5" customHeight="1" thickBot="1" x14ac:dyDescent="0.25">
      <c r="B33" s="99" t="s">
        <v>185</v>
      </c>
      <c r="C33" s="100"/>
      <c r="D33" s="100"/>
      <c r="E33" s="100"/>
      <c r="F33" s="100"/>
      <c r="G33" s="100"/>
      <c r="H33" s="100"/>
      <c r="I33" s="100"/>
      <c r="J33" s="100"/>
      <c r="K33" s="100"/>
      <c r="L33" s="100"/>
      <c r="M33" s="100"/>
      <c r="N33" s="100"/>
      <c r="O33" s="100"/>
      <c r="P33" s="100"/>
      <c r="Q33" s="100"/>
      <c r="R33" s="100"/>
      <c r="S33" s="100"/>
      <c r="T33" s="100"/>
      <c r="U33" s="101"/>
    </row>
  </sheetData>
  <mergeCells count="56">
    <mergeCell ref="B32:U32"/>
    <mergeCell ref="B33:U33"/>
    <mergeCell ref="B26:U26"/>
    <mergeCell ref="B27:U27"/>
    <mergeCell ref="B28:U28"/>
    <mergeCell ref="B29:U29"/>
    <mergeCell ref="B30:U30"/>
    <mergeCell ref="B31:U31"/>
    <mergeCell ref="B25:U25"/>
    <mergeCell ref="C16:H16"/>
    <mergeCell ref="I16:K16"/>
    <mergeCell ref="L16:O16"/>
    <mergeCell ref="C17:H17"/>
    <mergeCell ref="I17:K17"/>
    <mergeCell ref="L17:O17"/>
    <mergeCell ref="C18:H18"/>
    <mergeCell ref="I18:K18"/>
    <mergeCell ref="L18:O18"/>
    <mergeCell ref="B22:D22"/>
    <mergeCell ref="B23:D23"/>
    <mergeCell ref="C14:H14"/>
    <mergeCell ref="I14:K14"/>
    <mergeCell ref="L14:O14"/>
    <mergeCell ref="C15:H15"/>
    <mergeCell ref="I15:K15"/>
    <mergeCell ref="L15:O15"/>
    <mergeCell ref="C12:H12"/>
    <mergeCell ref="I12:K12"/>
    <mergeCell ref="L12:O12"/>
    <mergeCell ref="C13:H13"/>
    <mergeCell ref="I13:K13"/>
    <mergeCell ref="L13:O13"/>
    <mergeCell ref="C11:H11"/>
    <mergeCell ref="I11:K11"/>
    <mergeCell ref="L11:O11"/>
    <mergeCell ref="C6:G6"/>
    <mergeCell ref="K6:M6"/>
    <mergeCell ref="P6:Q6"/>
    <mergeCell ref="T6:U6"/>
    <mergeCell ref="B8:B10"/>
    <mergeCell ref="C8:H10"/>
    <mergeCell ref="I8:S8"/>
    <mergeCell ref="T8:U8"/>
    <mergeCell ref="I9:K10"/>
    <mergeCell ref="L9:O10"/>
    <mergeCell ref="P9:P10"/>
    <mergeCell ref="Q9:Q10"/>
    <mergeCell ref="R9:S9"/>
    <mergeCell ref="T9:T10"/>
    <mergeCell ref="U9:U10"/>
    <mergeCell ref="B5:U5"/>
    <mergeCell ref="B1:L1"/>
    <mergeCell ref="D4:H4"/>
    <mergeCell ref="L4:O4"/>
    <mergeCell ref="Q4:R4"/>
    <mergeCell ref="T4:U4"/>
  </mergeCells>
  <printOptions horizontalCentered="1"/>
  <pageMargins left="0.78740157480314965" right="0.78740157480314965" top="0.98425196850393704" bottom="0.98425196850393704" header="0" footer="0.39370078740157483"/>
  <pageSetup scale="60" fitToHeight="10" orientation="landscape" r:id="rId1"/>
  <headerFooter>
    <oddFooter>&amp;R&amp;P de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35"/>
  <sheetViews>
    <sheetView view="pageBreakPreview" topLeftCell="B10" zoomScale="80" zoomScaleNormal="80" zoomScaleSheetLayoutView="80" workbookViewId="0">
      <selection activeCell="I11" sqref="I11:K11"/>
    </sheetView>
  </sheetViews>
  <sheetFormatPr baseColWidth="10" defaultColWidth="10" defaultRowHeight="12.75" x14ac:dyDescent="0.2"/>
  <cols>
    <col min="1" max="1" width="3.5" style="1" customWidth="1"/>
    <col min="2" max="2" width="14.7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9.625" style="1" customWidth="1"/>
    <col min="19" max="19" width="13" style="1" customWidth="1"/>
    <col min="20" max="20" width="10.75" style="1" customWidth="1"/>
    <col min="21" max="21" width="11.37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50" t="s">
        <v>0</v>
      </c>
      <c r="C1" s="50"/>
      <c r="D1" s="50"/>
      <c r="E1" s="50"/>
      <c r="F1" s="50"/>
      <c r="G1" s="50"/>
      <c r="H1" s="50"/>
      <c r="I1" s="50"/>
      <c r="J1" s="50"/>
      <c r="K1" s="50"/>
      <c r="L1" s="50"/>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51.75" customHeight="1" thickTop="1" x14ac:dyDescent="0.2">
      <c r="B4" s="8" t="s">
        <v>6</v>
      </c>
      <c r="C4" s="9" t="s">
        <v>186</v>
      </c>
      <c r="D4" s="57" t="s">
        <v>187</v>
      </c>
      <c r="E4" s="57"/>
      <c r="F4" s="57"/>
      <c r="G4" s="57"/>
      <c r="H4" s="57"/>
      <c r="I4" s="10"/>
      <c r="J4" s="11" t="s">
        <v>9</v>
      </c>
      <c r="K4" s="12" t="s">
        <v>10</v>
      </c>
      <c r="L4" s="58" t="s">
        <v>11</v>
      </c>
      <c r="M4" s="58"/>
      <c r="N4" s="58"/>
      <c r="O4" s="58"/>
      <c r="P4" s="11" t="s">
        <v>12</v>
      </c>
      <c r="Q4" s="58" t="s">
        <v>188</v>
      </c>
      <c r="R4" s="58"/>
      <c r="S4" s="11" t="s">
        <v>14</v>
      </c>
      <c r="T4" s="58"/>
      <c r="U4" s="59"/>
    </row>
    <row r="5" spans="1:21" ht="15.75" customHeight="1" x14ac:dyDescent="0.2">
      <c r="B5" s="54" t="s">
        <v>15</v>
      </c>
      <c r="C5" s="55"/>
      <c r="D5" s="55"/>
      <c r="E5" s="55"/>
      <c r="F5" s="55"/>
      <c r="G5" s="55"/>
      <c r="H5" s="55"/>
      <c r="I5" s="55"/>
      <c r="J5" s="55"/>
      <c r="K5" s="55"/>
      <c r="L5" s="55"/>
      <c r="M5" s="55"/>
      <c r="N5" s="55"/>
      <c r="O5" s="55"/>
      <c r="P5" s="55"/>
      <c r="Q5" s="55"/>
      <c r="R5" s="55"/>
      <c r="S5" s="55"/>
      <c r="T5" s="55"/>
      <c r="U5" s="56"/>
    </row>
    <row r="6" spans="1:21" ht="44.25" customHeight="1" thickBot="1" x14ac:dyDescent="0.25">
      <c r="B6" s="13" t="s">
        <v>16</v>
      </c>
      <c r="C6" s="60" t="s">
        <v>17</v>
      </c>
      <c r="D6" s="60"/>
      <c r="E6" s="60"/>
      <c r="F6" s="60"/>
      <c r="G6" s="60"/>
      <c r="H6" s="14"/>
      <c r="I6" s="14"/>
      <c r="J6" s="14" t="s">
        <v>18</v>
      </c>
      <c r="K6" s="60" t="s">
        <v>189</v>
      </c>
      <c r="L6" s="60"/>
      <c r="M6" s="60"/>
      <c r="N6" s="15"/>
      <c r="O6" s="16" t="s">
        <v>20</v>
      </c>
      <c r="P6" s="60" t="s">
        <v>190</v>
      </c>
      <c r="Q6" s="60"/>
      <c r="R6" s="17"/>
      <c r="S6" s="16" t="s">
        <v>22</v>
      </c>
      <c r="T6" s="60" t="s">
        <v>191</v>
      </c>
      <c r="U6" s="61"/>
    </row>
    <row r="7" spans="1:21" ht="14.25" customHeight="1" thickTop="1" thickBot="1" x14ac:dyDescent="0.25">
      <c r="B7" s="4" t="s">
        <v>24</v>
      </c>
      <c r="C7" s="5"/>
      <c r="D7" s="5"/>
      <c r="E7" s="5"/>
      <c r="F7" s="5"/>
      <c r="G7" s="5"/>
      <c r="H7" s="6"/>
      <c r="I7" s="6"/>
      <c r="J7" s="6"/>
      <c r="K7" s="6"/>
      <c r="L7" s="6"/>
      <c r="M7" s="6"/>
      <c r="N7" s="6"/>
      <c r="O7" s="6"/>
      <c r="P7" s="6"/>
      <c r="Q7" s="6"/>
      <c r="R7" s="6"/>
      <c r="S7" s="6"/>
      <c r="T7" s="6"/>
      <c r="U7" s="7"/>
    </row>
    <row r="8" spans="1:21" ht="16.5" customHeight="1" thickTop="1" x14ac:dyDescent="0.2">
      <c r="B8" s="62" t="s">
        <v>25</v>
      </c>
      <c r="C8" s="65" t="s">
        <v>26</v>
      </c>
      <c r="D8" s="66"/>
      <c r="E8" s="66"/>
      <c r="F8" s="66"/>
      <c r="G8" s="66"/>
      <c r="H8" s="67"/>
      <c r="I8" s="74" t="s">
        <v>27</v>
      </c>
      <c r="J8" s="75"/>
      <c r="K8" s="75"/>
      <c r="L8" s="75"/>
      <c r="M8" s="75"/>
      <c r="N8" s="75"/>
      <c r="O8" s="75"/>
      <c r="P8" s="75"/>
      <c r="Q8" s="75"/>
      <c r="R8" s="75"/>
      <c r="S8" s="76"/>
      <c r="T8" s="77" t="s">
        <v>28</v>
      </c>
      <c r="U8" s="78"/>
    </row>
    <row r="9" spans="1:21" ht="19.5" customHeight="1" x14ac:dyDescent="0.2">
      <c r="B9" s="63"/>
      <c r="C9" s="68"/>
      <c r="D9" s="69"/>
      <c r="E9" s="69"/>
      <c r="F9" s="69"/>
      <c r="G9" s="69"/>
      <c r="H9" s="70"/>
      <c r="I9" s="79" t="s">
        <v>29</v>
      </c>
      <c r="J9" s="80"/>
      <c r="K9" s="80"/>
      <c r="L9" s="80" t="s">
        <v>30</v>
      </c>
      <c r="M9" s="80"/>
      <c r="N9" s="80"/>
      <c r="O9" s="80"/>
      <c r="P9" s="80" t="s">
        <v>31</v>
      </c>
      <c r="Q9" s="80" t="s">
        <v>32</v>
      </c>
      <c r="R9" s="83" t="s">
        <v>33</v>
      </c>
      <c r="S9" s="84"/>
      <c r="T9" s="80" t="s">
        <v>34</v>
      </c>
      <c r="U9" s="85" t="s">
        <v>35</v>
      </c>
    </row>
    <row r="10" spans="1:21" ht="26.25" customHeight="1" thickBot="1" x14ac:dyDescent="0.25">
      <c r="B10" s="64"/>
      <c r="C10" s="71"/>
      <c r="D10" s="72"/>
      <c r="E10" s="72"/>
      <c r="F10" s="72"/>
      <c r="G10" s="72"/>
      <c r="H10" s="73"/>
      <c r="I10" s="81"/>
      <c r="J10" s="82"/>
      <c r="K10" s="82"/>
      <c r="L10" s="82"/>
      <c r="M10" s="82"/>
      <c r="N10" s="82"/>
      <c r="O10" s="82"/>
      <c r="P10" s="82"/>
      <c r="Q10" s="82"/>
      <c r="R10" s="19" t="s">
        <v>36</v>
      </c>
      <c r="S10" s="20" t="s">
        <v>37</v>
      </c>
      <c r="T10" s="82"/>
      <c r="U10" s="86"/>
    </row>
    <row r="11" spans="1:21" ht="105" customHeight="1" thickTop="1" thickBot="1" x14ac:dyDescent="0.25">
      <c r="A11" s="21"/>
      <c r="B11" s="22" t="s">
        <v>38</v>
      </c>
      <c r="C11" s="87" t="s">
        <v>192</v>
      </c>
      <c r="D11" s="87"/>
      <c r="E11" s="87"/>
      <c r="F11" s="87"/>
      <c r="G11" s="87"/>
      <c r="H11" s="87"/>
      <c r="I11" s="87" t="s">
        <v>193</v>
      </c>
      <c r="J11" s="87"/>
      <c r="K11" s="87"/>
      <c r="L11" s="87" t="s">
        <v>194</v>
      </c>
      <c r="M11" s="87"/>
      <c r="N11" s="87"/>
      <c r="O11" s="87"/>
      <c r="P11" s="23" t="s">
        <v>48</v>
      </c>
      <c r="Q11" s="23" t="s">
        <v>49</v>
      </c>
      <c r="R11" s="23">
        <v>48.7</v>
      </c>
      <c r="S11" s="23">
        <v>55.63</v>
      </c>
      <c r="T11" s="23">
        <v>58.74</v>
      </c>
      <c r="U11" s="45">
        <f>105.5</f>
        <v>105.5</v>
      </c>
    </row>
    <row r="12" spans="1:21" ht="75" customHeight="1" thickTop="1" thickBot="1" x14ac:dyDescent="0.25">
      <c r="A12" s="21"/>
      <c r="B12" s="22" t="s">
        <v>44</v>
      </c>
      <c r="C12" s="87" t="s">
        <v>195</v>
      </c>
      <c r="D12" s="87"/>
      <c r="E12" s="87"/>
      <c r="F12" s="87"/>
      <c r="G12" s="87"/>
      <c r="H12" s="87"/>
      <c r="I12" s="87" t="s">
        <v>196</v>
      </c>
      <c r="J12" s="87"/>
      <c r="K12" s="87"/>
      <c r="L12" s="87" t="s">
        <v>197</v>
      </c>
      <c r="M12" s="87"/>
      <c r="N12" s="87"/>
      <c r="O12" s="87"/>
      <c r="P12" s="23" t="s">
        <v>198</v>
      </c>
      <c r="Q12" s="23" t="s">
        <v>43</v>
      </c>
      <c r="R12" s="23">
        <v>8.25</v>
      </c>
      <c r="S12" s="23">
        <v>8.25</v>
      </c>
      <c r="T12" s="104">
        <v>21.27</v>
      </c>
      <c r="U12" s="105">
        <v>257.82</v>
      </c>
    </row>
    <row r="13" spans="1:21" ht="75" customHeight="1" thickTop="1" x14ac:dyDescent="0.2">
      <c r="A13" s="21"/>
      <c r="B13" s="22" t="s">
        <v>50</v>
      </c>
      <c r="C13" s="87" t="s">
        <v>199</v>
      </c>
      <c r="D13" s="87"/>
      <c r="E13" s="87"/>
      <c r="F13" s="87"/>
      <c r="G13" s="87"/>
      <c r="H13" s="87"/>
      <c r="I13" s="87" t="s">
        <v>200</v>
      </c>
      <c r="J13" s="87"/>
      <c r="K13" s="87"/>
      <c r="L13" s="87" t="s">
        <v>201</v>
      </c>
      <c r="M13" s="87"/>
      <c r="N13" s="87"/>
      <c r="O13" s="87"/>
      <c r="P13" s="23" t="s">
        <v>198</v>
      </c>
      <c r="Q13" s="23" t="s">
        <v>43</v>
      </c>
      <c r="R13" s="23">
        <v>11.46</v>
      </c>
      <c r="S13" s="23">
        <v>0.68</v>
      </c>
      <c r="T13" s="23">
        <v>17.5</v>
      </c>
      <c r="U13" s="45">
        <f>81.94</f>
        <v>81.94</v>
      </c>
    </row>
    <row r="14" spans="1:21" ht="75" customHeight="1" x14ac:dyDescent="0.2">
      <c r="A14" s="21"/>
      <c r="B14" s="24" t="s">
        <v>55</v>
      </c>
      <c r="C14" s="88" t="s">
        <v>202</v>
      </c>
      <c r="D14" s="88"/>
      <c r="E14" s="88"/>
      <c r="F14" s="88"/>
      <c r="G14" s="88"/>
      <c r="H14" s="88"/>
      <c r="I14" s="88" t="s">
        <v>203</v>
      </c>
      <c r="J14" s="88"/>
      <c r="K14" s="88"/>
      <c r="L14" s="88" t="s">
        <v>204</v>
      </c>
      <c r="M14" s="88"/>
      <c r="N14" s="88"/>
      <c r="O14" s="88"/>
      <c r="P14" s="25" t="s">
        <v>198</v>
      </c>
      <c r="Q14" s="25" t="s">
        <v>71</v>
      </c>
      <c r="R14" s="25">
        <v>1.79</v>
      </c>
      <c r="S14" s="25">
        <v>0.5</v>
      </c>
      <c r="T14" s="25">
        <v>6.47</v>
      </c>
      <c r="U14" s="46">
        <f>1294</f>
        <v>1294</v>
      </c>
    </row>
    <row r="15" spans="1:21" ht="100.5" customHeight="1" thickBot="1" x14ac:dyDescent="0.25">
      <c r="A15" s="21"/>
      <c r="B15" s="24" t="s">
        <v>55</v>
      </c>
      <c r="C15" s="88" t="s">
        <v>205</v>
      </c>
      <c r="D15" s="88"/>
      <c r="E15" s="88"/>
      <c r="F15" s="88"/>
      <c r="G15" s="88"/>
      <c r="H15" s="88"/>
      <c r="I15" s="88" t="s">
        <v>206</v>
      </c>
      <c r="J15" s="88"/>
      <c r="K15" s="88"/>
      <c r="L15" s="88" t="s">
        <v>207</v>
      </c>
      <c r="M15" s="88"/>
      <c r="N15" s="88"/>
      <c r="O15" s="88"/>
      <c r="P15" s="25" t="s">
        <v>198</v>
      </c>
      <c r="Q15" s="25" t="s">
        <v>43</v>
      </c>
      <c r="R15" s="25">
        <v>2.08</v>
      </c>
      <c r="S15" s="25">
        <v>2.4</v>
      </c>
      <c r="T15" s="25">
        <v>14.22</v>
      </c>
      <c r="U15" s="46">
        <f>592.5</f>
        <v>592.5</v>
      </c>
    </row>
    <row r="16" spans="1:21" ht="75" customHeight="1" thickTop="1" x14ac:dyDescent="0.2">
      <c r="A16" s="21"/>
      <c r="B16" s="22" t="s">
        <v>61</v>
      </c>
      <c r="C16" s="87" t="s">
        <v>208</v>
      </c>
      <c r="D16" s="87"/>
      <c r="E16" s="87"/>
      <c r="F16" s="87"/>
      <c r="G16" s="87"/>
      <c r="H16" s="87"/>
      <c r="I16" s="87" t="s">
        <v>209</v>
      </c>
      <c r="J16" s="87"/>
      <c r="K16" s="87"/>
      <c r="L16" s="87" t="s">
        <v>210</v>
      </c>
      <c r="M16" s="87"/>
      <c r="N16" s="87"/>
      <c r="O16" s="87"/>
      <c r="P16" s="23" t="s">
        <v>198</v>
      </c>
      <c r="Q16" s="23" t="s">
        <v>71</v>
      </c>
      <c r="R16" s="23">
        <v>2.2400000000000002</v>
      </c>
      <c r="S16" s="23">
        <v>1.1000000000000001</v>
      </c>
      <c r="T16" s="23">
        <v>1.81</v>
      </c>
      <c r="U16" s="45">
        <f>164.55</f>
        <v>164.55</v>
      </c>
    </row>
    <row r="17" spans="1:22" ht="75" customHeight="1" x14ac:dyDescent="0.2">
      <c r="A17" s="21"/>
      <c r="B17" s="24" t="s">
        <v>55</v>
      </c>
      <c r="C17" s="88" t="s">
        <v>211</v>
      </c>
      <c r="D17" s="88"/>
      <c r="E17" s="88"/>
      <c r="F17" s="88"/>
      <c r="G17" s="88"/>
      <c r="H17" s="88"/>
      <c r="I17" s="88" t="s">
        <v>212</v>
      </c>
      <c r="J17" s="88"/>
      <c r="K17" s="88"/>
      <c r="L17" s="88" t="s">
        <v>213</v>
      </c>
      <c r="M17" s="88"/>
      <c r="N17" s="88"/>
      <c r="O17" s="88"/>
      <c r="P17" s="25" t="s">
        <v>198</v>
      </c>
      <c r="Q17" s="25" t="s">
        <v>71</v>
      </c>
      <c r="R17" s="25">
        <v>20.37</v>
      </c>
      <c r="S17" s="25">
        <v>20.350000000000001</v>
      </c>
      <c r="T17" s="25">
        <v>12.51</v>
      </c>
      <c r="U17" s="46">
        <f>61.47</f>
        <v>61.47</v>
      </c>
    </row>
    <row r="18" spans="1:22" ht="75" customHeight="1" x14ac:dyDescent="0.2">
      <c r="A18" s="21"/>
      <c r="B18" s="24" t="s">
        <v>55</v>
      </c>
      <c r="C18" s="88" t="s">
        <v>214</v>
      </c>
      <c r="D18" s="88"/>
      <c r="E18" s="88"/>
      <c r="F18" s="88"/>
      <c r="G18" s="88"/>
      <c r="H18" s="88"/>
      <c r="I18" s="88" t="s">
        <v>215</v>
      </c>
      <c r="J18" s="88"/>
      <c r="K18" s="88"/>
      <c r="L18" s="88" t="s">
        <v>216</v>
      </c>
      <c r="M18" s="88"/>
      <c r="N18" s="88"/>
      <c r="O18" s="88"/>
      <c r="P18" s="25" t="s">
        <v>198</v>
      </c>
      <c r="Q18" s="25" t="s">
        <v>71</v>
      </c>
      <c r="R18" s="25">
        <v>0.38</v>
      </c>
      <c r="S18" s="25">
        <v>0.39</v>
      </c>
      <c r="T18" s="25">
        <v>24.28</v>
      </c>
      <c r="U18" s="46">
        <f>6224.64</f>
        <v>6224.64</v>
      </c>
    </row>
    <row r="19" spans="1:22" ht="75" customHeight="1" thickBot="1" x14ac:dyDescent="0.25">
      <c r="A19" s="21"/>
      <c r="B19" s="24" t="s">
        <v>55</v>
      </c>
      <c r="C19" s="88" t="s">
        <v>217</v>
      </c>
      <c r="D19" s="88"/>
      <c r="E19" s="88"/>
      <c r="F19" s="88"/>
      <c r="G19" s="88"/>
      <c r="H19" s="88"/>
      <c r="I19" s="88" t="s">
        <v>218</v>
      </c>
      <c r="J19" s="88"/>
      <c r="K19" s="88"/>
      <c r="L19" s="88" t="s">
        <v>219</v>
      </c>
      <c r="M19" s="88"/>
      <c r="N19" s="88"/>
      <c r="O19" s="88"/>
      <c r="P19" s="25" t="s">
        <v>198</v>
      </c>
      <c r="Q19" s="25" t="s">
        <v>71</v>
      </c>
      <c r="R19" s="25">
        <v>8.31</v>
      </c>
      <c r="S19" s="25">
        <v>3.05</v>
      </c>
      <c r="T19" s="25">
        <v>10.24</v>
      </c>
      <c r="U19" s="46">
        <f>335.74</f>
        <v>335.74</v>
      </c>
    </row>
    <row r="20" spans="1:22" ht="14.25" customHeight="1" thickTop="1" thickBot="1" x14ac:dyDescent="0.25">
      <c r="B20" s="4" t="s">
        <v>80</v>
      </c>
      <c r="C20" s="5"/>
      <c r="D20" s="5"/>
      <c r="E20" s="5"/>
      <c r="F20" s="5"/>
      <c r="G20" s="5"/>
      <c r="H20" s="6"/>
      <c r="I20" s="6"/>
      <c r="J20" s="6"/>
      <c r="K20" s="6"/>
      <c r="L20" s="6"/>
      <c r="M20" s="6"/>
      <c r="N20" s="6"/>
      <c r="O20" s="6"/>
      <c r="P20" s="6"/>
      <c r="Q20" s="6"/>
      <c r="R20" s="6"/>
      <c r="S20" s="6"/>
      <c r="T20" s="6"/>
      <c r="U20" s="7"/>
      <c r="V20" s="26"/>
    </row>
    <row r="21" spans="1:22" ht="26.25" customHeight="1" thickTop="1" x14ac:dyDescent="0.2">
      <c r="B21" s="27"/>
      <c r="C21" s="28"/>
      <c r="D21" s="28"/>
      <c r="E21" s="28"/>
      <c r="F21" s="28"/>
      <c r="G21" s="28"/>
      <c r="H21" s="29"/>
      <c r="I21" s="29"/>
      <c r="J21" s="29"/>
      <c r="K21" s="29"/>
      <c r="L21" s="29"/>
      <c r="M21" s="29"/>
      <c r="N21" s="29"/>
      <c r="O21" s="29"/>
      <c r="P21" s="29"/>
      <c r="Q21" s="29"/>
      <c r="R21" s="30"/>
      <c r="S21" s="31" t="s">
        <v>33</v>
      </c>
      <c r="T21" s="31" t="s">
        <v>81</v>
      </c>
      <c r="U21" s="18" t="s">
        <v>82</v>
      </c>
    </row>
    <row r="22" spans="1:22" ht="26.25" customHeight="1" thickBot="1" x14ac:dyDescent="0.25">
      <c r="B22" s="32"/>
      <c r="C22" s="33"/>
      <c r="D22" s="33"/>
      <c r="E22" s="33"/>
      <c r="F22" s="33"/>
      <c r="G22" s="33"/>
      <c r="H22" s="34"/>
      <c r="I22" s="34"/>
      <c r="J22" s="34"/>
      <c r="K22" s="34"/>
      <c r="L22" s="34"/>
      <c r="M22" s="34"/>
      <c r="N22" s="34"/>
      <c r="O22" s="34"/>
      <c r="P22" s="34"/>
      <c r="Q22" s="34"/>
      <c r="R22" s="34"/>
      <c r="S22" s="35" t="s">
        <v>83</v>
      </c>
      <c r="T22" s="36" t="s">
        <v>83</v>
      </c>
      <c r="U22" s="36" t="s">
        <v>84</v>
      </c>
    </row>
    <row r="23" spans="1:22" ht="13.5" customHeight="1" thickBot="1" x14ac:dyDescent="0.25">
      <c r="B23" s="92" t="s">
        <v>85</v>
      </c>
      <c r="C23" s="93"/>
      <c r="D23" s="93"/>
      <c r="E23" s="37"/>
      <c r="F23" s="37"/>
      <c r="G23" s="37"/>
      <c r="H23" s="38"/>
      <c r="I23" s="38"/>
      <c r="J23" s="38"/>
      <c r="K23" s="38"/>
      <c r="L23" s="38"/>
      <c r="M23" s="38"/>
      <c r="N23" s="38"/>
      <c r="O23" s="38"/>
      <c r="P23" s="39"/>
      <c r="Q23" s="39"/>
      <c r="R23" s="39"/>
      <c r="S23" s="48">
        <v>7358.8286840000001</v>
      </c>
      <c r="T23" s="48">
        <v>6978.6606212999986</v>
      </c>
      <c r="U23" s="49">
        <f>+IF(ISERR(T23/S23*100),"N/A",ROUND(T23/S23*100,1))</f>
        <v>94.8</v>
      </c>
    </row>
    <row r="24" spans="1:22" ht="13.5" customHeight="1" thickBot="1" x14ac:dyDescent="0.25">
      <c r="B24" s="94" t="s">
        <v>86</v>
      </c>
      <c r="C24" s="95"/>
      <c r="D24" s="95"/>
      <c r="E24" s="40"/>
      <c r="F24" s="40"/>
      <c r="G24" s="40"/>
      <c r="H24" s="41"/>
      <c r="I24" s="41"/>
      <c r="J24" s="41"/>
      <c r="K24" s="41"/>
      <c r="L24" s="41"/>
      <c r="M24" s="41"/>
      <c r="N24" s="41"/>
      <c r="O24" s="41"/>
      <c r="P24" s="42"/>
      <c r="Q24" s="42"/>
      <c r="R24" s="42"/>
      <c r="S24" s="48">
        <v>6980.1058130599986</v>
      </c>
      <c r="T24" s="48">
        <v>6978.6606212999986</v>
      </c>
      <c r="U24" s="49">
        <f>+IF(ISERR(T24/S24*100),"N/A",ROUND(T24/S24*100,1))</f>
        <v>100</v>
      </c>
    </row>
    <row r="25" spans="1:22" ht="14.85" customHeight="1" thickTop="1" thickBot="1" x14ac:dyDescent="0.25">
      <c r="B25" s="4" t="s">
        <v>87</v>
      </c>
      <c r="C25" s="5"/>
      <c r="D25" s="5"/>
      <c r="E25" s="5"/>
      <c r="F25" s="5"/>
      <c r="G25" s="5"/>
      <c r="H25" s="6"/>
      <c r="I25" s="6"/>
      <c r="J25" s="6"/>
      <c r="K25" s="6"/>
      <c r="L25" s="6"/>
      <c r="M25" s="6"/>
      <c r="N25" s="6"/>
      <c r="O25" s="6"/>
      <c r="P25" s="6"/>
      <c r="Q25" s="6"/>
      <c r="R25" s="6"/>
      <c r="S25" s="6"/>
      <c r="T25" s="6"/>
      <c r="U25" s="7"/>
    </row>
    <row r="26" spans="1:22" ht="44.25" customHeight="1" thickTop="1" x14ac:dyDescent="0.2">
      <c r="B26" s="89" t="s">
        <v>88</v>
      </c>
      <c r="C26" s="90"/>
      <c r="D26" s="90"/>
      <c r="E26" s="90"/>
      <c r="F26" s="90"/>
      <c r="G26" s="90"/>
      <c r="H26" s="90"/>
      <c r="I26" s="90"/>
      <c r="J26" s="90"/>
      <c r="K26" s="90"/>
      <c r="L26" s="90"/>
      <c r="M26" s="90"/>
      <c r="N26" s="90"/>
      <c r="O26" s="90"/>
      <c r="P26" s="90"/>
      <c r="Q26" s="90"/>
      <c r="R26" s="90"/>
      <c r="S26" s="90"/>
      <c r="T26" s="90"/>
      <c r="U26" s="91"/>
    </row>
    <row r="27" spans="1:22" ht="258.75" customHeight="1" x14ac:dyDescent="0.2">
      <c r="B27" s="96" t="s">
        <v>220</v>
      </c>
      <c r="C27" s="97"/>
      <c r="D27" s="97"/>
      <c r="E27" s="97"/>
      <c r="F27" s="97"/>
      <c r="G27" s="97"/>
      <c r="H27" s="97"/>
      <c r="I27" s="97"/>
      <c r="J27" s="97"/>
      <c r="K27" s="97"/>
      <c r="L27" s="97"/>
      <c r="M27" s="97"/>
      <c r="N27" s="97"/>
      <c r="O27" s="97"/>
      <c r="P27" s="97"/>
      <c r="Q27" s="97"/>
      <c r="R27" s="97"/>
      <c r="S27" s="97"/>
      <c r="T27" s="97"/>
      <c r="U27" s="98"/>
    </row>
    <row r="28" spans="1:22" ht="301.5" customHeight="1" x14ac:dyDescent="0.2">
      <c r="B28" s="96" t="s">
        <v>221</v>
      </c>
      <c r="C28" s="97"/>
      <c r="D28" s="97"/>
      <c r="E28" s="97"/>
      <c r="F28" s="97"/>
      <c r="G28" s="97"/>
      <c r="H28" s="97"/>
      <c r="I28" s="97"/>
      <c r="J28" s="97"/>
      <c r="K28" s="97"/>
      <c r="L28" s="97"/>
      <c r="M28" s="97"/>
      <c r="N28" s="97"/>
      <c r="O28" s="97"/>
      <c r="P28" s="97"/>
      <c r="Q28" s="97"/>
      <c r="R28" s="97"/>
      <c r="S28" s="97"/>
      <c r="T28" s="97"/>
      <c r="U28" s="98"/>
    </row>
    <row r="29" spans="1:22" ht="251.25" customHeight="1" x14ac:dyDescent="0.2">
      <c r="B29" s="96" t="s">
        <v>222</v>
      </c>
      <c r="C29" s="97"/>
      <c r="D29" s="97"/>
      <c r="E29" s="97"/>
      <c r="F29" s="97"/>
      <c r="G29" s="97"/>
      <c r="H29" s="97"/>
      <c r="I29" s="97"/>
      <c r="J29" s="97"/>
      <c r="K29" s="97"/>
      <c r="L29" s="97"/>
      <c r="M29" s="97"/>
      <c r="N29" s="97"/>
      <c r="O29" s="97"/>
      <c r="P29" s="97"/>
      <c r="Q29" s="97"/>
      <c r="R29" s="97"/>
      <c r="S29" s="97"/>
      <c r="T29" s="97"/>
      <c r="U29" s="98"/>
    </row>
    <row r="30" spans="1:22" ht="270.95" customHeight="1" x14ac:dyDescent="0.2">
      <c r="B30" s="96" t="s">
        <v>223</v>
      </c>
      <c r="C30" s="97"/>
      <c r="D30" s="97"/>
      <c r="E30" s="97"/>
      <c r="F30" s="97"/>
      <c r="G30" s="97"/>
      <c r="H30" s="97"/>
      <c r="I30" s="97"/>
      <c r="J30" s="97"/>
      <c r="K30" s="97"/>
      <c r="L30" s="97"/>
      <c r="M30" s="97"/>
      <c r="N30" s="97"/>
      <c r="O30" s="97"/>
      <c r="P30" s="97"/>
      <c r="Q30" s="97"/>
      <c r="R30" s="97"/>
      <c r="S30" s="97"/>
      <c r="T30" s="97"/>
      <c r="U30" s="98"/>
    </row>
    <row r="31" spans="1:22" ht="218.25" customHeight="1" x14ac:dyDescent="0.2">
      <c r="B31" s="96" t="s">
        <v>224</v>
      </c>
      <c r="C31" s="97"/>
      <c r="D31" s="97"/>
      <c r="E31" s="97"/>
      <c r="F31" s="97"/>
      <c r="G31" s="97"/>
      <c r="H31" s="97"/>
      <c r="I31" s="97"/>
      <c r="J31" s="97"/>
      <c r="K31" s="97"/>
      <c r="L31" s="97"/>
      <c r="M31" s="97"/>
      <c r="N31" s="97"/>
      <c r="O31" s="97"/>
      <c r="P31" s="97"/>
      <c r="Q31" s="97"/>
      <c r="R31" s="97"/>
      <c r="S31" s="97"/>
      <c r="T31" s="97"/>
      <c r="U31" s="98"/>
    </row>
    <row r="32" spans="1:22" ht="275.25" customHeight="1" x14ac:dyDescent="0.2">
      <c r="B32" s="96" t="s">
        <v>225</v>
      </c>
      <c r="C32" s="97"/>
      <c r="D32" s="97"/>
      <c r="E32" s="97"/>
      <c r="F32" s="97"/>
      <c r="G32" s="97"/>
      <c r="H32" s="97"/>
      <c r="I32" s="97"/>
      <c r="J32" s="97"/>
      <c r="K32" s="97"/>
      <c r="L32" s="97"/>
      <c r="M32" s="97"/>
      <c r="N32" s="97"/>
      <c r="O32" s="97"/>
      <c r="P32" s="97"/>
      <c r="Q32" s="97"/>
      <c r="R32" s="97"/>
      <c r="S32" s="97"/>
      <c r="T32" s="97"/>
      <c r="U32" s="98"/>
    </row>
    <row r="33" spans="2:21" ht="165.75" customHeight="1" x14ac:dyDescent="0.2">
      <c r="B33" s="96" t="s">
        <v>226</v>
      </c>
      <c r="C33" s="97"/>
      <c r="D33" s="97"/>
      <c r="E33" s="97"/>
      <c r="F33" s="97"/>
      <c r="G33" s="97"/>
      <c r="H33" s="97"/>
      <c r="I33" s="97"/>
      <c r="J33" s="97"/>
      <c r="K33" s="97"/>
      <c r="L33" s="97"/>
      <c r="M33" s="97"/>
      <c r="N33" s="97"/>
      <c r="O33" s="97"/>
      <c r="P33" s="97"/>
      <c r="Q33" s="97"/>
      <c r="R33" s="97"/>
      <c r="S33" s="97"/>
      <c r="T33" s="97"/>
      <c r="U33" s="98"/>
    </row>
    <row r="34" spans="2:21" ht="197.25" customHeight="1" x14ac:dyDescent="0.2">
      <c r="B34" s="96" t="s">
        <v>227</v>
      </c>
      <c r="C34" s="97"/>
      <c r="D34" s="97"/>
      <c r="E34" s="97"/>
      <c r="F34" s="97"/>
      <c r="G34" s="97"/>
      <c r="H34" s="97"/>
      <c r="I34" s="97"/>
      <c r="J34" s="97"/>
      <c r="K34" s="97"/>
      <c r="L34" s="97"/>
      <c r="M34" s="97"/>
      <c r="N34" s="97"/>
      <c r="O34" s="97"/>
      <c r="P34" s="97"/>
      <c r="Q34" s="97"/>
      <c r="R34" s="97"/>
      <c r="S34" s="97"/>
      <c r="T34" s="97"/>
      <c r="U34" s="98"/>
    </row>
    <row r="35" spans="2:21" ht="169.5" customHeight="1" thickBot="1" x14ac:dyDescent="0.25">
      <c r="B35" s="99" t="s">
        <v>228</v>
      </c>
      <c r="C35" s="100"/>
      <c r="D35" s="100"/>
      <c r="E35" s="100"/>
      <c r="F35" s="100"/>
      <c r="G35" s="100"/>
      <c r="H35" s="100"/>
      <c r="I35" s="100"/>
      <c r="J35" s="100"/>
      <c r="K35" s="100"/>
      <c r="L35" s="100"/>
      <c r="M35" s="100"/>
      <c r="N35" s="100"/>
      <c r="O35" s="100"/>
      <c r="P35" s="100"/>
      <c r="Q35" s="100"/>
      <c r="R35" s="100"/>
      <c r="S35" s="100"/>
      <c r="T35" s="100"/>
      <c r="U35" s="101"/>
    </row>
  </sheetData>
  <mergeCells count="60">
    <mergeCell ref="B35:U35"/>
    <mergeCell ref="B23:D23"/>
    <mergeCell ref="B24:D24"/>
    <mergeCell ref="B26:U26"/>
    <mergeCell ref="B27:U27"/>
    <mergeCell ref="B28:U28"/>
    <mergeCell ref="B29:U29"/>
    <mergeCell ref="B30:U30"/>
    <mergeCell ref="B31:U31"/>
    <mergeCell ref="B32:U32"/>
    <mergeCell ref="B33:U33"/>
    <mergeCell ref="B34:U34"/>
    <mergeCell ref="C18:H18"/>
    <mergeCell ref="I18:K18"/>
    <mergeCell ref="L18:O18"/>
    <mergeCell ref="C19:H19"/>
    <mergeCell ref="I19:K19"/>
    <mergeCell ref="L19:O19"/>
    <mergeCell ref="C16:H16"/>
    <mergeCell ref="I16:K16"/>
    <mergeCell ref="L16:O16"/>
    <mergeCell ref="C17:H17"/>
    <mergeCell ref="I17:K17"/>
    <mergeCell ref="L17:O17"/>
    <mergeCell ref="C14:H14"/>
    <mergeCell ref="I14:K14"/>
    <mergeCell ref="L14:O14"/>
    <mergeCell ref="C15:H15"/>
    <mergeCell ref="I15:K15"/>
    <mergeCell ref="L15:O15"/>
    <mergeCell ref="C12:H12"/>
    <mergeCell ref="I12:K12"/>
    <mergeCell ref="L12:O12"/>
    <mergeCell ref="C13:H13"/>
    <mergeCell ref="I13:K13"/>
    <mergeCell ref="L13:O13"/>
    <mergeCell ref="C11:H11"/>
    <mergeCell ref="I11:K11"/>
    <mergeCell ref="L11:O11"/>
    <mergeCell ref="C6:G6"/>
    <mergeCell ref="K6:M6"/>
    <mergeCell ref="P6:Q6"/>
    <mergeCell ref="T6:U6"/>
    <mergeCell ref="B8:B10"/>
    <mergeCell ref="C8:H10"/>
    <mergeCell ref="I8:S8"/>
    <mergeCell ref="T8:U8"/>
    <mergeCell ref="I9:K10"/>
    <mergeCell ref="L9:O10"/>
    <mergeCell ref="P9:P10"/>
    <mergeCell ref="Q9:Q10"/>
    <mergeCell ref="R9:S9"/>
    <mergeCell ref="T9:T10"/>
    <mergeCell ref="U9:U10"/>
    <mergeCell ref="B5:U5"/>
    <mergeCell ref="B1:L1"/>
    <mergeCell ref="D4:H4"/>
    <mergeCell ref="L4:O4"/>
    <mergeCell ref="Q4:R4"/>
    <mergeCell ref="T4:U4"/>
  </mergeCells>
  <printOptions horizontalCentered="1"/>
  <pageMargins left="0.78740157480314965" right="0.78740157480314965" top="0.98425196850393704" bottom="0.98425196850393704" header="0" footer="0.39370078740157483"/>
  <pageSetup scale="60" fitToHeight="10" orientation="landscape" r:id="rId1"/>
  <headerFooter>
    <oddFooter>&amp;R&amp;P de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43"/>
  <sheetViews>
    <sheetView view="pageBreakPreview" topLeftCell="E13" zoomScale="80" zoomScaleNormal="80" zoomScaleSheetLayoutView="80" workbookViewId="0">
      <selection activeCell="R15" sqref="R15:U15"/>
    </sheetView>
  </sheetViews>
  <sheetFormatPr baseColWidth="10" defaultColWidth="10" defaultRowHeight="12.75" x14ac:dyDescent="0.2"/>
  <cols>
    <col min="1" max="1" width="3.5" style="1" customWidth="1"/>
    <col min="2" max="2" width="14.7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9.625" style="1" customWidth="1"/>
    <col min="19" max="19" width="13" style="1" customWidth="1"/>
    <col min="20" max="20" width="10.75" style="1" customWidth="1"/>
    <col min="21" max="21" width="11.37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50" t="s">
        <v>0</v>
      </c>
      <c r="C1" s="50"/>
      <c r="D1" s="50"/>
      <c r="E1" s="50"/>
      <c r="F1" s="50"/>
      <c r="G1" s="50"/>
      <c r="H1" s="50"/>
      <c r="I1" s="50"/>
      <c r="J1" s="50"/>
      <c r="K1" s="50"/>
      <c r="L1" s="50"/>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51.75" customHeight="1" thickTop="1" x14ac:dyDescent="0.2">
      <c r="B4" s="8" t="s">
        <v>6</v>
      </c>
      <c r="C4" s="9" t="s">
        <v>229</v>
      </c>
      <c r="D4" s="57" t="s">
        <v>230</v>
      </c>
      <c r="E4" s="57"/>
      <c r="F4" s="57"/>
      <c r="G4" s="57"/>
      <c r="H4" s="57"/>
      <c r="I4" s="10"/>
      <c r="J4" s="11" t="s">
        <v>9</v>
      </c>
      <c r="K4" s="12" t="s">
        <v>10</v>
      </c>
      <c r="L4" s="58" t="s">
        <v>11</v>
      </c>
      <c r="M4" s="58"/>
      <c r="N4" s="58"/>
      <c r="O4" s="58"/>
      <c r="P4" s="11" t="s">
        <v>12</v>
      </c>
      <c r="Q4" s="58" t="s">
        <v>188</v>
      </c>
      <c r="R4" s="58"/>
      <c r="S4" s="11" t="s">
        <v>14</v>
      </c>
      <c r="T4" s="58"/>
      <c r="U4" s="59"/>
    </row>
    <row r="5" spans="1:21" ht="15.75" customHeight="1" x14ac:dyDescent="0.2">
      <c r="B5" s="54" t="s">
        <v>15</v>
      </c>
      <c r="C5" s="55"/>
      <c r="D5" s="55"/>
      <c r="E5" s="55"/>
      <c r="F5" s="55"/>
      <c r="G5" s="55"/>
      <c r="H5" s="55"/>
      <c r="I5" s="55"/>
      <c r="J5" s="55"/>
      <c r="K5" s="55"/>
      <c r="L5" s="55"/>
      <c r="M5" s="55"/>
      <c r="N5" s="55"/>
      <c r="O5" s="55"/>
      <c r="P5" s="55"/>
      <c r="Q5" s="55"/>
      <c r="R5" s="55"/>
      <c r="S5" s="55"/>
      <c r="T5" s="55"/>
      <c r="U5" s="56"/>
    </row>
    <row r="6" spans="1:21" ht="37.5" customHeight="1" thickBot="1" x14ac:dyDescent="0.25">
      <c r="B6" s="13" t="s">
        <v>16</v>
      </c>
      <c r="C6" s="60" t="s">
        <v>17</v>
      </c>
      <c r="D6" s="60"/>
      <c r="E6" s="60"/>
      <c r="F6" s="60"/>
      <c r="G6" s="60"/>
      <c r="H6" s="14"/>
      <c r="I6" s="14"/>
      <c r="J6" s="14" t="s">
        <v>18</v>
      </c>
      <c r="K6" s="60" t="s">
        <v>189</v>
      </c>
      <c r="L6" s="60"/>
      <c r="M6" s="60"/>
      <c r="N6" s="15"/>
      <c r="O6" s="16" t="s">
        <v>20</v>
      </c>
      <c r="P6" s="60" t="s">
        <v>190</v>
      </c>
      <c r="Q6" s="60"/>
      <c r="R6" s="17"/>
      <c r="S6" s="16" t="s">
        <v>22</v>
      </c>
      <c r="T6" s="60" t="s">
        <v>191</v>
      </c>
      <c r="U6" s="61"/>
    </row>
    <row r="7" spans="1:21" ht="14.25" customHeight="1" thickTop="1" thickBot="1" x14ac:dyDescent="0.25">
      <c r="B7" s="4" t="s">
        <v>24</v>
      </c>
      <c r="C7" s="5"/>
      <c r="D7" s="5"/>
      <c r="E7" s="5"/>
      <c r="F7" s="5"/>
      <c r="G7" s="5"/>
      <c r="H7" s="6"/>
      <c r="I7" s="6"/>
      <c r="J7" s="6"/>
      <c r="K7" s="6"/>
      <c r="L7" s="6"/>
      <c r="M7" s="6"/>
      <c r="N7" s="6"/>
      <c r="O7" s="6"/>
      <c r="P7" s="6"/>
      <c r="Q7" s="6"/>
      <c r="R7" s="6"/>
      <c r="S7" s="6"/>
      <c r="T7" s="6"/>
      <c r="U7" s="7"/>
    </row>
    <row r="8" spans="1:21" ht="16.5" customHeight="1" thickTop="1" x14ac:dyDescent="0.2">
      <c r="B8" s="62" t="s">
        <v>25</v>
      </c>
      <c r="C8" s="65" t="s">
        <v>26</v>
      </c>
      <c r="D8" s="66"/>
      <c r="E8" s="66"/>
      <c r="F8" s="66"/>
      <c r="G8" s="66"/>
      <c r="H8" s="67"/>
      <c r="I8" s="74" t="s">
        <v>27</v>
      </c>
      <c r="J8" s="75"/>
      <c r="K8" s="75"/>
      <c r="L8" s="75"/>
      <c r="M8" s="75"/>
      <c r="N8" s="75"/>
      <c r="O8" s="75"/>
      <c r="P8" s="75"/>
      <c r="Q8" s="75"/>
      <c r="R8" s="75"/>
      <c r="S8" s="76"/>
      <c r="T8" s="77" t="s">
        <v>28</v>
      </c>
      <c r="U8" s="78"/>
    </row>
    <row r="9" spans="1:21" ht="19.5" customHeight="1" x14ac:dyDescent="0.2">
      <c r="B9" s="63"/>
      <c r="C9" s="68"/>
      <c r="D9" s="69"/>
      <c r="E9" s="69"/>
      <c r="F9" s="69"/>
      <c r="G9" s="69"/>
      <c r="H9" s="70"/>
      <c r="I9" s="79" t="s">
        <v>29</v>
      </c>
      <c r="J9" s="80"/>
      <c r="K9" s="80"/>
      <c r="L9" s="80" t="s">
        <v>30</v>
      </c>
      <c r="M9" s="80"/>
      <c r="N9" s="80"/>
      <c r="O9" s="80"/>
      <c r="P9" s="80" t="s">
        <v>31</v>
      </c>
      <c r="Q9" s="80" t="s">
        <v>32</v>
      </c>
      <c r="R9" s="83" t="s">
        <v>33</v>
      </c>
      <c r="S9" s="84"/>
      <c r="T9" s="80" t="s">
        <v>34</v>
      </c>
      <c r="U9" s="85" t="s">
        <v>35</v>
      </c>
    </row>
    <row r="10" spans="1:21" ht="26.25" customHeight="1" thickBot="1" x14ac:dyDescent="0.25">
      <c r="B10" s="64"/>
      <c r="C10" s="71"/>
      <c r="D10" s="72"/>
      <c r="E10" s="72"/>
      <c r="F10" s="72"/>
      <c r="G10" s="72"/>
      <c r="H10" s="73"/>
      <c r="I10" s="81"/>
      <c r="J10" s="82"/>
      <c r="K10" s="82"/>
      <c r="L10" s="82"/>
      <c r="M10" s="82"/>
      <c r="N10" s="82"/>
      <c r="O10" s="82"/>
      <c r="P10" s="82"/>
      <c r="Q10" s="82"/>
      <c r="R10" s="19" t="s">
        <v>36</v>
      </c>
      <c r="S10" s="20" t="s">
        <v>37</v>
      </c>
      <c r="T10" s="82"/>
      <c r="U10" s="86"/>
    </row>
    <row r="11" spans="1:21" ht="123" customHeight="1" thickTop="1" x14ac:dyDescent="0.2">
      <c r="A11" s="21"/>
      <c r="B11" s="22" t="s">
        <v>38</v>
      </c>
      <c r="C11" s="87" t="s">
        <v>231</v>
      </c>
      <c r="D11" s="87"/>
      <c r="E11" s="87"/>
      <c r="F11" s="87"/>
      <c r="G11" s="87"/>
      <c r="H11" s="87"/>
      <c r="I11" s="87" t="s">
        <v>232</v>
      </c>
      <c r="J11" s="87"/>
      <c r="K11" s="87"/>
      <c r="L11" s="87" t="s">
        <v>233</v>
      </c>
      <c r="M11" s="87"/>
      <c r="N11" s="87"/>
      <c r="O11" s="87"/>
      <c r="P11" s="23" t="s">
        <v>48</v>
      </c>
      <c r="Q11" s="23" t="s">
        <v>49</v>
      </c>
      <c r="R11" s="23">
        <v>0.71</v>
      </c>
      <c r="S11" s="23">
        <v>0.71</v>
      </c>
      <c r="T11" s="23">
        <v>1.75</v>
      </c>
      <c r="U11" s="45">
        <f>246.5</f>
        <v>246.5</v>
      </c>
    </row>
    <row r="12" spans="1:21" ht="117.75" customHeight="1" thickBot="1" x14ac:dyDescent="0.25">
      <c r="A12" s="21"/>
      <c r="B12" s="24" t="s">
        <v>55</v>
      </c>
      <c r="C12" s="88" t="s">
        <v>55</v>
      </c>
      <c r="D12" s="88"/>
      <c r="E12" s="88"/>
      <c r="F12" s="88"/>
      <c r="G12" s="88"/>
      <c r="H12" s="88"/>
      <c r="I12" s="88" t="s">
        <v>234</v>
      </c>
      <c r="J12" s="88"/>
      <c r="K12" s="88"/>
      <c r="L12" s="88" t="s">
        <v>235</v>
      </c>
      <c r="M12" s="88"/>
      <c r="N12" s="88"/>
      <c r="O12" s="88"/>
      <c r="P12" s="25" t="s">
        <v>48</v>
      </c>
      <c r="Q12" s="25" t="s">
        <v>43</v>
      </c>
      <c r="R12" s="25">
        <v>81.52</v>
      </c>
      <c r="S12" s="25">
        <v>9.6300000000000008</v>
      </c>
      <c r="T12" s="25">
        <v>78.69</v>
      </c>
      <c r="U12" s="46">
        <v>102.9</v>
      </c>
    </row>
    <row r="13" spans="1:21" ht="90" customHeight="1" thickTop="1" x14ac:dyDescent="0.2">
      <c r="A13" s="21"/>
      <c r="B13" s="22" t="s">
        <v>44</v>
      </c>
      <c r="C13" s="87" t="s">
        <v>236</v>
      </c>
      <c r="D13" s="87"/>
      <c r="E13" s="87"/>
      <c r="F13" s="87"/>
      <c r="G13" s="87"/>
      <c r="H13" s="87"/>
      <c r="I13" s="87" t="s">
        <v>237</v>
      </c>
      <c r="J13" s="87"/>
      <c r="K13" s="87"/>
      <c r="L13" s="87" t="s">
        <v>238</v>
      </c>
      <c r="M13" s="87"/>
      <c r="N13" s="87"/>
      <c r="O13" s="87"/>
      <c r="P13" s="23" t="s">
        <v>48</v>
      </c>
      <c r="Q13" s="23" t="s">
        <v>49</v>
      </c>
      <c r="R13" s="23">
        <v>100</v>
      </c>
      <c r="S13" s="23">
        <v>102.27</v>
      </c>
      <c r="T13" s="23">
        <v>69.430000000000007</v>
      </c>
      <c r="U13" s="45">
        <f>67.9</f>
        <v>67.900000000000006</v>
      </c>
    </row>
    <row r="14" spans="1:21" ht="75" customHeight="1" x14ac:dyDescent="0.2">
      <c r="A14" s="21"/>
      <c r="B14" s="24" t="s">
        <v>55</v>
      </c>
      <c r="C14" s="88" t="s">
        <v>55</v>
      </c>
      <c r="D14" s="88"/>
      <c r="E14" s="88"/>
      <c r="F14" s="88"/>
      <c r="G14" s="88"/>
      <c r="H14" s="88"/>
      <c r="I14" s="88" t="s">
        <v>239</v>
      </c>
      <c r="J14" s="88"/>
      <c r="K14" s="88"/>
      <c r="L14" s="102" t="s">
        <v>240</v>
      </c>
      <c r="M14" s="88"/>
      <c r="N14" s="88"/>
      <c r="O14" s="88"/>
      <c r="P14" s="25" t="s">
        <v>48</v>
      </c>
      <c r="Q14" s="25" t="s">
        <v>49</v>
      </c>
      <c r="R14" s="25">
        <v>100</v>
      </c>
      <c r="S14" s="25">
        <v>100</v>
      </c>
      <c r="T14" s="25">
        <v>244.82</v>
      </c>
      <c r="U14" s="46">
        <f>244.82</f>
        <v>244.82</v>
      </c>
    </row>
    <row r="15" spans="1:21" ht="101.25" customHeight="1" thickBot="1" x14ac:dyDescent="0.25">
      <c r="A15" s="21"/>
      <c r="B15" s="24" t="s">
        <v>55</v>
      </c>
      <c r="C15" s="88" t="s">
        <v>55</v>
      </c>
      <c r="D15" s="88"/>
      <c r="E15" s="88"/>
      <c r="F15" s="88"/>
      <c r="G15" s="88"/>
      <c r="H15" s="88"/>
      <c r="I15" s="88" t="s">
        <v>241</v>
      </c>
      <c r="J15" s="88"/>
      <c r="K15" s="88"/>
      <c r="L15" s="88" t="s">
        <v>242</v>
      </c>
      <c r="M15" s="88"/>
      <c r="N15" s="88"/>
      <c r="O15" s="88"/>
      <c r="P15" s="25" t="s">
        <v>48</v>
      </c>
      <c r="Q15" s="25" t="s">
        <v>43</v>
      </c>
      <c r="R15" s="25">
        <v>100</v>
      </c>
      <c r="S15" s="25">
        <v>100</v>
      </c>
      <c r="T15" s="25">
        <v>2</v>
      </c>
      <c r="U15" s="46">
        <f>2</f>
        <v>2</v>
      </c>
    </row>
    <row r="16" spans="1:21" ht="55.5" customHeight="1" thickTop="1" x14ac:dyDescent="0.2">
      <c r="A16" s="21"/>
      <c r="B16" s="22" t="s">
        <v>50</v>
      </c>
      <c r="C16" s="87" t="s">
        <v>243</v>
      </c>
      <c r="D16" s="87"/>
      <c r="E16" s="87"/>
      <c r="F16" s="87"/>
      <c r="G16" s="87"/>
      <c r="H16" s="87"/>
      <c r="I16" s="87" t="s">
        <v>244</v>
      </c>
      <c r="J16" s="87"/>
      <c r="K16" s="87"/>
      <c r="L16" s="87" t="s">
        <v>245</v>
      </c>
      <c r="M16" s="87"/>
      <c r="N16" s="87"/>
      <c r="O16" s="87"/>
      <c r="P16" s="23" t="s">
        <v>48</v>
      </c>
      <c r="Q16" s="23" t="s">
        <v>49</v>
      </c>
      <c r="R16" s="23">
        <v>100</v>
      </c>
      <c r="S16" s="23">
        <v>1.98</v>
      </c>
      <c r="T16" s="23">
        <v>2.63</v>
      </c>
      <c r="U16" s="45">
        <f>132.83</f>
        <v>132.83000000000001</v>
      </c>
    </row>
    <row r="17" spans="1:22" ht="132" customHeight="1" x14ac:dyDescent="0.2">
      <c r="A17" s="21"/>
      <c r="B17" s="24" t="s">
        <v>55</v>
      </c>
      <c r="C17" s="88" t="s">
        <v>246</v>
      </c>
      <c r="D17" s="88"/>
      <c r="E17" s="88"/>
      <c r="F17" s="88"/>
      <c r="G17" s="88"/>
      <c r="H17" s="88"/>
      <c r="I17" s="88" t="s">
        <v>247</v>
      </c>
      <c r="J17" s="88"/>
      <c r="K17" s="88"/>
      <c r="L17" s="88" t="s">
        <v>248</v>
      </c>
      <c r="M17" s="88"/>
      <c r="N17" s="88"/>
      <c r="O17" s="88"/>
      <c r="P17" s="25" t="s">
        <v>48</v>
      </c>
      <c r="Q17" s="25" t="s">
        <v>49</v>
      </c>
      <c r="R17" s="25">
        <v>100</v>
      </c>
      <c r="S17" s="25">
        <v>65.03</v>
      </c>
      <c r="T17" s="25">
        <v>194.22</v>
      </c>
      <c r="U17" s="46">
        <f>298.66</f>
        <v>298.66000000000003</v>
      </c>
    </row>
    <row r="18" spans="1:22" ht="75" customHeight="1" thickBot="1" x14ac:dyDescent="0.25">
      <c r="A18" s="21"/>
      <c r="B18" s="24" t="s">
        <v>55</v>
      </c>
      <c r="C18" s="88" t="s">
        <v>249</v>
      </c>
      <c r="D18" s="88"/>
      <c r="E18" s="88"/>
      <c r="F18" s="88"/>
      <c r="G18" s="88"/>
      <c r="H18" s="88"/>
      <c r="I18" s="88" t="s">
        <v>250</v>
      </c>
      <c r="J18" s="88"/>
      <c r="K18" s="88"/>
      <c r="L18" s="88" t="s">
        <v>251</v>
      </c>
      <c r="M18" s="88"/>
      <c r="N18" s="88"/>
      <c r="O18" s="88"/>
      <c r="P18" s="25" t="s">
        <v>48</v>
      </c>
      <c r="Q18" s="25" t="s">
        <v>49</v>
      </c>
      <c r="R18" s="25">
        <v>100</v>
      </c>
      <c r="S18" s="25">
        <v>100</v>
      </c>
      <c r="T18" s="25">
        <v>101.27</v>
      </c>
      <c r="U18" s="46">
        <f>101.27</f>
        <v>101.27</v>
      </c>
    </row>
    <row r="19" spans="1:22" ht="75" customHeight="1" thickTop="1" x14ac:dyDescent="0.2">
      <c r="A19" s="21"/>
      <c r="B19" s="22" t="s">
        <v>61</v>
      </c>
      <c r="C19" s="87" t="s">
        <v>252</v>
      </c>
      <c r="D19" s="87"/>
      <c r="E19" s="87"/>
      <c r="F19" s="87"/>
      <c r="G19" s="87"/>
      <c r="H19" s="87"/>
      <c r="I19" s="87" t="s">
        <v>253</v>
      </c>
      <c r="J19" s="87"/>
      <c r="K19" s="87"/>
      <c r="L19" s="87" t="s">
        <v>254</v>
      </c>
      <c r="M19" s="87"/>
      <c r="N19" s="87"/>
      <c r="O19" s="87"/>
      <c r="P19" s="23" t="s">
        <v>48</v>
      </c>
      <c r="Q19" s="23" t="s">
        <v>66</v>
      </c>
      <c r="R19" s="23">
        <v>37.64</v>
      </c>
      <c r="S19" s="23">
        <v>37.64</v>
      </c>
      <c r="T19" s="23">
        <v>60.05</v>
      </c>
      <c r="U19" s="45">
        <f>159.53</f>
        <v>159.53</v>
      </c>
    </row>
    <row r="20" spans="1:22" ht="75" customHeight="1" x14ac:dyDescent="0.2">
      <c r="A20" s="21"/>
      <c r="B20" s="24" t="s">
        <v>55</v>
      </c>
      <c r="C20" s="88" t="s">
        <v>255</v>
      </c>
      <c r="D20" s="88"/>
      <c r="E20" s="88"/>
      <c r="F20" s="88"/>
      <c r="G20" s="88"/>
      <c r="H20" s="88"/>
      <c r="I20" s="88" t="s">
        <v>256</v>
      </c>
      <c r="J20" s="88"/>
      <c r="K20" s="88"/>
      <c r="L20" s="88" t="s">
        <v>257</v>
      </c>
      <c r="M20" s="88"/>
      <c r="N20" s="88"/>
      <c r="O20" s="88"/>
      <c r="P20" s="25" t="s">
        <v>48</v>
      </c>
      <c r="Q20" s="25" t="s">
        <v>66</v>
      </c>
      <c r="R20" s="25">
        <v>100</v>
      </c>
      <c r="S20" s="25">
        <v>109.29</v>
      </c>
      <c r="T20" s="25">
        <v>96.23</v>
      </c>
      <c r="U20" s="46">
        <f>88.05</f>
        <v>88.05</v>
      </c>
    </row>
    <row r="21" spans="1:22" ht="67.5" customHeight="1" x14ac:dyDescent="0.2">
      <c r="A21" s="21"/>
      <c r="B21" s="24" t="s">
        <v>55</v>
      </c>
      <c r="C21" s="88" t="s">
        <v>55</v>
      </c>
      <c r="D21" s="88"/>
      <c r="E21" s="88"/>
      <c r="F21" s="88"/>
      <c r="G21" s="88"/>
      <c r="H21" s="88"/>
      <c r="I21" s="88" t="s">
        <v>258</v>
      </c>
      <c r="J21" s="88"/>
      <c r="K21" s="88"/>
      <c r="L21" s="88" t="s">
        <v>259</v>
      </c>
      <c r="M21" s="88"/>
      <c r="N21" s="88"/>
      <c r="O21" s="88"/>
      <c r="P21" s="25" t="s">
        <v>198</v>
      </c>
      <c r="Q21" s="25" t="s">
        <v>71</v>
      </c>
      <c r="R21" s="25">
        <v>5.15</v>
      </c>
      <c r="S21" s="25">
        <v>5.15</v>
      </c>
      <c r="T21" s="25">
        <v>13.84</v>
      </c>
      <c r="U21" s="46">
        <f>268.73</f>
        <v>268.73</v>
      </c>
    </row>
    <row r="22" spans="1:22" ht="75" customHeight="1" x14ac:dyDescent="0.2">
      <c r="A22" s="21"/>
      <c r="B22" s="24" t="s">
        <v>55</v>
      </c>
      <c r="C22" s="88" t="s">
        <v>260</v>
      </c>
      <c r="D22" s="88"/>
      <c r="E22" s="88"/>
      <c r="F22" s="88"/>
      <c r="G22" s="88"/>
      <c r="H22" s="88"/>
      <c r="I22" s="88" t="s">
        <v>261</v>
      </c>
      <c r="J22" s="88"/>
      <c r="K22" s="88"/>
      <c r="L22" s="88" t="s">
        <v>262</v>
      </c>
      <c r="M22" s="88"/>
      <c r="N22" s="88"/>
      <c r="O22" s="88"/>
      <c r="P22" s="25" t="s">
        <v>48</v>
      </c>
      <c r="Q22" s="25" t="s">
        <v>134</v>
      </c>
      <c r="R22" s="25">
        <v>100</v>
      </c>
      <c r="S22" s="25">
        <v>100</v>
      </c>
      <c r="T22" s="25">
        <v>137.5</v>
      </c>
      <c r="U22" s="46">
        <f>137.5</f>
        <v>137.5</v>
      </c>
    </row>
    <row r="23" spans="1:22" ht="84.75" customHeight="1" thickBot="1" x14ac:dyDescent="0.25">
      <c r="A23" s="21"/>
      <c r="B23" s="24" t="s">
        <v>55</v>
      </c>
      <c r="C23" s="88" t="s">
        <v>55</v>
      </c>
      <c r="D23" s="88"/>
      <c r="E23" s="88"/>
      <c r="F23" s="88"/>
      <c r="G23" s="88"/>
      <c r="H23" s="88"/>
      <c r="I23" s="88" t="s">
        <v>263</v>
      </c>
      <c r="J23" s="88"/>
      <c r="K23" s="88"/>
      <c r="L23" s="88" t="s">
        <v>264</v>
      </c>
      <c r="M23" s="88"/>
      <c r="N23" s="88"/>
      <c r="O23" s="88"/>
      <c r="P23" s="25" t="s">
        <v>48</v>
      </c>
      <c r="Q23" s="25" t="s">
        <v>134</v>
      </c>
      <c r="R23" s="25">
        <v>100</v>
      </c>
      <c r="S23" s="25">
        <v>100</v>
      </c>
      <c r="T23" s="25">
        <v>261.5</v>
      </c>
      <c r="U23" s="46">
        <f>261.5</f>
        <v>261.5</v>
      </c>
    </row>
    <row r="24" spans="1:22" ht="14.25" customHeight="1" thickTop="1" thickBot="1" x14ac:dyDescent="0.25">
      <c r="B24" s="4" t="s">
        <v>80</v>
      </c>
      <c r="C24" s="5"/>
      <c r="D24" s="5"/>
      <c r="E24" s="5"/>
      <c r="F24" s="5"/>
      <c r="G24" s="5"/>
      <c r="H24" s="6"/>
      <c r="I24" s="6"/>
      <c r="J24" s="6"/>
      <c r="K24" s="6"/>
      <c r="L24" s="6"/>
      <c r="M24" s="6"/>
      <c r="N24" s="6"/>
      <c r="O24" s="6"/>
      <c r="P24" s="6"/>
      <c r="Q24" s="6"/>
      <c r="R24" s="6"/>
      <c r="S24" s="6"/>
      <c r="T24" s="6"/>
      <c r="U24" s="7"/>
      <c r="V24" s="26"/>
    </row>
    <row r="25" spans="1:22" ht="26.25" customHeight="1" thickTop="1" x14ac:dyDescent="0.2">
      <c r="B25" s="27"/>
      <c r="C25" s="28"/>
      <c r="D25" s="28"/>
      <c r="E25" s="28"/>
      <c r="F25" s="28"/>
      <c r="G25" s="28"/>
      <c r="H25" s="29"/>
      <c r="I25" s="29"/>
      <c r="J25" s="29"/>
      <c r="K25" s="29"/>
      <c r="L25" s="29"/>
      <c r="M25" s="29"/>
      <c r="N25" s="29"/>
      <c r="O25" s="29"/>
      <c r="P25" s="29"/>
      <c r="Q25" s="29"/>
      <c r="R25" s="30"/>
      <c r="S25" s="31" t="s">
        <v>33</v>
      </c>
      <c r="T25" s="31" t="s">
        <v>81</v>
      </c>
      <c r="U25" s="18" t="s">
        <v>82</v>
      </c>
    </row>
    <row r="26" spans="1:22" ht="26.25" customHeight="1" thickBot="1" x14ac:dyDescent="0.25">
      <c r="B26" s="32"/>
      <c r="C26" s="33"/>
      <c r="D26" s="33"/>
      <c r="E26" s="33"/>
      <c r="F26" s="33"/>
      <c r="G26" s="33"/>
      <c r="H26" s="34"/>
      <c r="I26" s="34"/>
      <c r="J26" s="34"/>
      <c r="K26" s="34"/>
      <c r="L26" s="34"/>
      <c r="M26" s="34"/>
      <c r="N26" s="34"/>
      <c r="O26" s="34"/>
      <c r="P26" s="34"/>
      <c r="Q26" s="34"/>
      <c r="R26" s="34"/>
      <c r="S26" s="35" t="s">
        <v>83</v>
      </c>
      <c r="T26" s="36" t="s">
        <v>83</v>
      </c>
      <c r="U26" s="36" t="s">
        <v>84</v>
      </c>
    </row>
    <row r="27" spans="1:22" ht="13.5" customHeight="1" thickBot="1" x14ac:dyDescent="0.25">
      <c r="B27" s="92" t="s">
        <v>85</v>
      </c>
      <c r="C27" s="93"/>
      <c r="D27" s="93"/>
      <c r="E27" s="37"/>
      <c r="F27" s="37"/>
      <c r="G27" s="37"/>
      <c r="H27" s="38"/>
      <c r="I27" s="38"/>
      <c r="J27" s="38"/>
      <c r="K27" s="38"/>
      <c r="L27" s="38"/>
      <c r="M27" s="38"/>
      <c r="N27" s="38"/>
      <c r="O27" s="38"/>
      <c r="P27" s="39"/>
      <c r="Q27" s="39"/>
      <c r="R27" s="39"/>
      <c r="S27" s="48">
        <v>2230.9216240000001</v>
      </c>
      <c r="T27" s="48">
        <v>2062.8107015100009</v>
      </c>
      <c r="U27" s="49">
        <f>+IF(ISERR(T27/S27*100),"N/A",ROUND(T27/S27*100,1))</f>
        <v>92.5</v>
      </c>
    </row>
    <row r="28" spans="1:22" ht="13.5" customHeight="1" thickBot="1" x14ac:dyDescent="0.25">
      <c r="B28" s="94" t="s">
        <v>86</v>
      </c>
      <c r="C28" s="95"/>
      <c r="D28" s="95"/>
      <c r="E28" s="40"/>
      <c r="F28" s="40"/>
      <c r="G28" s="40"/>
      <c r="H28" s="41"/>
      <c r="I28" s="41"/>
      <c r="J28" s="41"/>
      <c r="K28" s="41"/>
      <c r="L28" s="41"/>
      <c r="M28" s="41"/>
      <c r="N28" s="41"/>
      <c r="O28" s="41"/>
      <c r="P28" s="42"/>
      <c r="Q28" s="42"/>
      <c r="R28" s="42"/>
      <c r="S28" s="48">
        <v>2062.8107015100009</v>
      </c>
      <c r="T28" s="48">
        <v>2062.8107015100009</v>
      </c>
      <c r="U28" s="49">
        <f>+IF(ISERR(T28/S28*100),"N/A",ROUND(T28/S28*100,1))</f>
        <v>100</v>
      </c>
    </row>
    <row r="29" spans="1:22" ht="14.85" customHeight="1" thickTop="1" thickBot="1" x14ac:dyDescent="0.25">
      <c r="B29" s="4" t="s">
        <v>87</v>
      </c>
      <c r="C29" s="5"/>
      <c r="D29" s="5"/>
      <c r="E29" s="5"/>
      <c r="F29" s="5"/>
      <c r="G29" s="5"/>
      <c r="H29" s="6"/>
      <c r="I29" s="6"/>
      <c r="J29" s="6"/>
      <c r="K29" s="6"/>
      <c r="L29" s="6"/>
      <c r="M29" s="6"/>
      <c r="N29" s="6"/>
      <c r="O29" s="6"/>
      <c r="P29" s="6"/>
      <c r="Q29" s="6"/>
      <c r="R29" s="6"/>
      <c r="S29" s="6"/>
      <c r="T29" s="6"/>
      <c r="U29" s="7"/>
    </row>
    <row r="30" spans="1:22" ht="44.25" customHeight="1" thickTop="1" x14ac:dyDescent="0.2">
      <c r="B30" s="89" t="s">
        <v>88</v>
      </c>
      <c r="C30" s="90"/>
      <c r="D30" s="90"/>
      <c r="E30" s="90"/>
      <c r="F30" s="90"/>
      <c r="G30" s="90"/>
      <c r="H30" s="90"/>
      <c r="I30" s="90"/>
      <c r="J30" s="90"/>
      <c r="K30" s="90"/>
      <c r="L30" s="90"/>
      <c r="M30" s="90"/>
      <c r="N30" s="90"/>
      <c r="O30" s="90"/>
      <c r="P30" s="90"/>
      <c r="Q30" s="90"/>
      <c r="R30" s="90"/>
      <c r="S30" s="90"/>
      <c r="T30" s="90"/>
      <c r="U30" s="91"/>
    </row>
    <row r="31" spans="1:22" ht="64.5" customHeight="1" x14ac:dyDescent="0.2">
      <c r="B31" s="96" t="s">
        <v>265</v>
      </c>
      <c r="C31" s="97"/>
      <c r="D31" s="97"/>
      <c r="E31" s="97"/>
      <c r="F31" s="97"/>
      <c r="G31" s="97"/>
      <c r="H31" s="97"/>
      <c r="I31" s="97"/>
      <c r="J31" s="97"/>
      <c r="K31" s="97"/>
      <c r="L31" s="97"/>
      <c r="M31" s="97"/>
      <c r="N31" s="97"/>
      <c r="O31" s="97"/>
      <c r="P31" s="97"/>
      <c r="Q31" s="97"/>
      <c r="R31" s="97"/>
      <c r="S31" s="97"/>
      <c r="T31" s="97"/>
      <c r="U31" s="98"/>
    </row>
    <row r="32" spans="1:22" ht="129.94999999999999" customHeight="1" x14ac:dyDescent="0.2">
      <c r="B32" s="96" t="s">
        <v>266</v>
      </c>
      <c r="C32" s="97"/>
      <c r="D32" s="97"/>
      <c r="E32" s="97"/>
      <c r="F32" s="97"/>
      <c r="G32" s="97"/>
      <c r="H32" s="97"/>
      <c r="I32" s="97"/>
      <c r="J32" s="97"/>
      <c r="K32" s="97"/>
      <c r="L32" s="97"/>
      <c r="M32" s="97"/>
      <c r="N32" s="97"/>
      <c r="O32" s="97"/>
      <c r="P32" s="97"/>
      <c r="Q32" s="97"/>
      <c r="R32" s="97"/>
      <c r="S32" s="97"/>
      <c r="T32" s="97"/>
      <c r="U32" s="98"/>
    </row>
    <row r="33" spans="2:21" ht="120.2" customHeight="1" x14ac:dyDescent="0.2">
      <c r="B33" s="96" t="s">
        <v>267</v>
      </c>
      <c r="C33" s="97"/>
      <c r="D33" s="97"/>
      <c r="E33" s="97"/>
      <c r="F33" s="97"/>
      <c r="G33" s="97"/>
      <c r="H33" s="97"/>
      <c r="I33" s="97"/>
      <c r="J33" s="97"/>
      <c r="K33" s="97"/>
      <c r="L33" s="97"/>
      <c r="M33" s="97"/>
      <c r="N33" s="97"/>
      <c r="O33" s="97"/>
      <c r="P33" s="97"/>
      <c r="Q33" s="97"/>
      <c r="R33" s="97"/>
      <c r="S33" s="97"/>
      <c r="T33" s="97"/>
      <c r="U33" s="98"/>
    </row>
    <row r="34" spans="2:21" ht="65.25" customHeight="1" x14ac:dyDescent="0.2">
      <c r="B34" s="96" t="s">
        <v>268</v>
      </c>
      <c r="C34" s="97"/>
      <c r="D34" s="97"/>
      <c r="E34" s="97"/>
      <c r="F34" s="97"/>
      <c r="G34" s="97"/>
      <c r="H34" s="97"/>
      <c r="I34" s="97"/>
      <c r="J34" s="97"/>
      <c r="K34" s="97"/>
      <c r="L34" s="97"/>
      <c r="M34" s="97"/>
      <c r="N34" s="97"/>
      <c r="O34" s="97"/>
      <c r="P34" s="97"/>
      <c r="Q34" s="97"/>
      <c r="R34" s="97"/>
      <c r="S34" s="97"/>
      <c r="T34" s="97"/>
      <c r="U34" s="98"/>
    </row>
    <row r="35" spans="2:21" ht="188.45" customHeight="1" x14ac:dyDescent="0.2">
      <c r="B35" s="96" t="s">
        <v>269</v>
      </c>
      <c r="C35" s="97"/>
      <c r="D35" s="97"/>
      <c r="E35" s="97"/>
      <c r="F35" s="97"/>
      <c r="G35" s="97"/>
      <c r="H35" s="97"/>
      <c r="I35" s="97"/>
      <c r="J35" s="97"/>
      <c r="K35" s="97"/>
      <c r="L35" s="97"/>
      <c r="M35" s="97"/>
      <c r="N35" s="97"/>
      <c r="O35" s="97"/>
      <c r="P35" s="97"/>
      <c r="Q35" s="97"/>
      <c r="R35" s="97"/>
      <c r="S35" s="97"/>
      <c r="T35" s="97"/>
      <c r="U35" s="98"/>
    </row>
    <row r="36" spans="2:21" ht="58.5" customHeight="1" x14ac:dyDescent="0.2">
      <c r="B36" s="96" t="s">
        <v>270</v>
      </c>
      <c r="C36" s="97"/>
      <c r="D36" s="97"/>
      <c r="E36" s="97"/>
      <c r="F36" s="97"/>
      <c r="G36" s="97"/>
      <c r="H36" s="97"/>
      <c r="I36" s="97"/>
      <c r="J36" s="97"/>
      <c r="K36" s="97"/>
      <c r="L36" s="97"/>
      <c r="M36" s="97"/>
      <c r="N36" s="97"/>
      <c r="O36" s="97"/>
      <c r="P36" s="97"/>
      <c r="Q36" s="97"/>
      <c r="R36" s="97"/>
      <c r="S36" s="97"/>
      <c r="T36" s="97"/>
      <c r="U36" s="98"/>
    </row>
    <row r="37" spans="2:21" ht="142.35" customHeight="1" x14ac:dyDescent="0.2">
      <c r="B37" s="96" t="s">
        <v>271</v>
      </c>
      <c r="C37" s="97"/>
      <c r="D37" s="97"/>
      <c r="E37" s="97"/>
      <c r="F37" s="97"/>
      <c r="G37" s="97"/>
      <c r="H37" s="97"/>
      <c r="I37" s="97"/>
      <c r="J37" s="97"/>
      <c r="K37" s="97"/>
      <c r="L37" s="97"/>
      <c r="M37" s="97"/>
      <c r="N37" s="97"/>
      <c r="O37" s="97"/>
      <c r="P37" s="97"/>
      <c r="Q37" s="97"/>
      <c r="R37" s="97"/>
      <c r="S37" s="97"/>
      <c r="T37" s="97"/>
      <c r="U37" s="98"/>
    </row>
    <row r="38" spans="2:21" ht="81" customHeight="1" x14ac:dyDescent="0.2">
      <c r="B38" s="96" t="s">
        <v>272</v>
      </c>
      <c r="C38" s="97"/>
      <c r="D38" s="97"/>
      <c r="E38" s="97"/>
      <c r="F38" s="97"/>
      <c r="G38" s="97"/>
      <c r="H38" s="97"/>
      <c r="I38" s="97"/>
      <c r="J38" s="97"/>
      <c r="K38" s="97"/>
      <c r="L38" s="97"/>
      <c r="M38" s="97"/>
      <c r="N38" s="97"/>
      <c r="O38" s="97"/>
      <c r="P38" s="97"/>
      <c r="Q38" s="97"/>
      <c r="R38" s="97"/>
      <c r="S38" s="97"/>
      <c r="T38" s="97"/>
      <c r="U38" s="98"/>
    </row>
    <row r="39" spans="2:21" ht="75.75" customHeight="1" x14ac:dyDescent="0.2">
      <c r="B39" s="96" t="s">
        <v>273</v>
      </c>
      <c r="C39" s="97"/>
      <c r="D39" s="97"/>
      <c r="E39" s="97"/>
      <c r="F39" s="97"/>
      <c r="G39" s="97"/>
      <c r="H39" s="97"/>
      <c r="I39" s="97"/>
      <c r="J39" s="97"/>
      <c r="K39" s="97"/>
      <c r="L39" s="97"/>
      <c r="M39" s="97"/>
      <c r="N39" s="97"/>
      <c r="O39" s="97"/>
      <c r="P39" s="97"/>
      <c r="Q39" s="97"/>
      <c r="R39" s="97"/>
      <c r="S39" s="97"/>
      <c r="T39" s="97"/>
      <c r="U39" s="98"/>
    </row>
    <row r="40" spans="2:21" ht="100.35" customHeight="1" x14ac:dyDescent="0.2">
      <c r="B40" s="96" t="s">
        <v>274</v>
      </c>
      <c r="C40" s="97"/>
      <c r="D40" s="97"/>
      <c r="E40" s="97"/>
      <c r="F40" s="97"/>
      <c r="G40" s="97"/>
      <c r="H40" s="97"/>
      <c r="I40" s="97"/>
      <c r="J40" s="97"/>
      <c r="K40" s="97"/>
      <c r="L40" s="97"/>
      <c r="M40" s="97"/>
      <c r="N40" s="97"/>
      <c r="O40" s="97"/>
      <c r="P40" s="97"/>
      <c r="Q40" s="97"/>
      <c r="R40" s="97"/>
      <c r="S40" s="97"/>
      <c r="T40" s="97"/>
      <c r="U40" s="98"/>
    </row>
    <row r="41" spans="2:21" ht="121.5" customHeight="1" x14ac:dyDescent="0.2">
      <c r="B41" s="96" t="s">
        <v>275</v>
      </c>
      <c r="C41" s="97"/>
      <c r="D41" s="97"/>
      <c r="E41" s="97"/>
      <c r="F41" s="97"/>
      <c r="G41" s="97"/>
      <c r="H41" s="97"/>
      <c r="I41" s="97"/>
      <c r="J41" s="97"/>
      <c r="K41" s="97"/>
      <c r="L41" s="97"/>
      <c r="M41" s="97"/>
      <c r="N41" s="97"/>
      <c r="O41" s="97"/>
      <c r="P41" s="97"/>
      <c r="Q41" s="97"/>
      <c r="R41" s="97"/>
      <c r="S41" s="97"/>
      <c r="T41" s="97"/>
      <c r="U41" s="98"/>
    </row>
    <row r="42" spans="2:21" ht="53.25" customHeight="1" x14ac:dyDescent="0.2">
      <c r="B42" s="96" t="s">
        <v>276</v>
      </c>
      <c r="C42" s="97"/>
      <c r="D42" s="97"/>
      <c r="E42" s="97"/>
      <c r="F42" s="97"/>
      <c r="G42" s="97"/>
      <c r="H42" s="97"/>
      <c r="I42" s="97"/>
      <c r="J42" s="97"/>
      <c r="K42" s="97"/>
      <c r="L42" s="97"/>
      <c r="M42" s="97"/>
      <c r="N42" s="97"/>
      <c r="O42" s="97"/>
      <c r="P42" s="97"/>
      <c r="Q42" s="97"/>
      <c r="R42" s="97"/>
      <c r="S42" s="97"/>
      <c r="T42" s="97"/>
      <c r="U42" s="98"/>
    </row>
    <row r="43" spans="2:21" ht="63.75" customHeight="1" thickBot="1" x14ac:dyDescent="0.25">
      <c r="B43" s="99" t="s">
        <v>277</v>
      </c>
      <c r="C43" s="100"/>
      <c r="D43" s="100"/>
      <c r="E43" s="100"/>
      <c r="F43" s="100"/>
      <c r="G43" s="100"/>
      <c r="H43" s="100"/>
      <c r="I43" s="100"/>
      <c r="J43" s="100"/>
      <c r="K43" s="100"/>
      <c r="L43" s="100"/>
      <c r="M43" s="100"/>
      <c r="N43" s="100"/>
      <c r="O43" s="100"/>
      <c r="P43" s="100"/>
      <c r="Q43" s="100"/>
      <c r="R43" s="100"/>
      <c r="S43" s="100"/>
      <c r="T43" s="100"/>
      <c r="U43" s="101"/>
    </row>
  </sheetData>
  <mergeCells count="76">
    <mergeCell ref="B40:U40"/>
    <mergeCell ref="B41:U41"/>
    <mergeCell ref="B42:U42"/>
    <mergeCell ref="B43:U43"/>
    <mergeCell ref="B34:U34"/>
    <mergeCell ref="B35:U35"/>
    <mergeCell ref="B36:U36"/>
    <mergeCell ref="B37:U37"/>
    <mergeCell ref="B38:U38"/>
    <mergeCell ref="B39:U39"/>
    <mergeCell ref="B33:U33"/>
    <mergeCell ref="C22:H22"/>
    <mergeCell ref="I22:K22"/>
    <mergeCell ref="L22:O22"/>
    <mergeCell ref="C23:H23"/>
    <mergeCell ref="I23:K23"/>
    <mergeCell ref="L23:O23"/>
    <mergeCell ref="B27:D27"/>
    <mergeCell ref="B28:D28"/>
    <mergeCell ref="B30:U30"/>
    <mergeCell ref="B31:U31"/>
    <mergeCell ref="B32:U32"/>
    <mergeCell ref="C20:H20"/>
    <mergeCell ref="I20:K20"/>
    <mergeCell ref="L20:O20"/>
    <mergeCell ref="C21:H21"/>
    <mergeCell ref="I21:K21"/>
    <mergeCell ref="L21:O21"/>
    <mergeCell ref="C18:H18"/>
    <mergeCell ref="I18:K18"/>
    <mergeCell ref="L18:O18"/>
    <mergeCell ref="C19:H19"/>
    <mergeCell ref="I19:K19"/>
    <mergeCell ref="L19:O19"/>
    <mergeCell ref="C16:H16"/>
    <mergeCell ref="I16:K16"/>
    <mergeCell ref="L16:O16"/>
    <mergeCell ref="C17:H17"/>
    <mergeCell ref="I17:K17"/>
    <mergeCell ref="L17:O17"/>
    <mergeCell ref="C14:H14"/>
    <mergeCell ref="I14:K14"/>
    <mergeCell ref="L14:O14"/>
    <mergeCell ref="C15:H15"/>
    <mergeCell ref="I15:K15"/>
    <mergeCell ref="L15:O15"/>
    <mergeCell ref="C12:H12"/>
    <mergeCell ref="I12:K12"/>
    <mergeCell ref="L12:O12"/>
    <mergeCell ref="C13:H13"/>
    <mergeCell ref="I13:K13"/>
    <mergeCell ref="L13:O13"/>
    <mergeCell ref="C11:H11"/>
    <mergeCell ref="I11:K11"/>
    <mergeCell ref="L11:O11"/>
    <mergeCell ref="C6:G6"/>
    <mergeCell ref="K6:M6"/>
    <mergeCell ref="P6:Q6"/>
    <mergeCell ref="T6:U6"/>
    <mergeCell ref="B8:B10"/>
    <mergeCell ref="C8:H10"/>
    <mergeCell ref="I8:S8"/>
    <mergeCell ref="T8:U8"/>
    <mergeCell ref="I9:K10"/>
    <mergeCell ref="L9:O10"/>
    <mergeCell ref="P9:P10"/>
    <mergeCell ref="Q9:Q10"/>
    <mergeCell ref="R9:S9"/>
    <mergeCell ref="T9:T10"/>
    <mergeCell ref="U9:U10"/>
    <mergeCell ref="B5:U5"/>
    <mergeCell ref="B1:L1"/>
    <mergeCell ref="D4:H4"/>
    <mergeCell ref="L4:O4"/>
    <mergeCell ref="Q4:R4"/>
    <mergeCell ref="T4:U4"/>
  </mergeCells>
  <printOptions horizontalCentered="1"/>
  <pageMargins left="0.78740157480314965" right="0.78740157480314965" top="0.98425196850393704" bottom="0.98425196850393704" header="0" footer="0.39370078740157483"/>
  <pageSetup scale="60" fitToHeight="10" orientation="landscape" r:id="rId1"/>
  <headerFooter>
    <oddFooter>&amp;R&amp;P de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35"/>
  <sheetViews>
    <sheetView view="pageBreakPreview" topLeftCell="A7" zoomScale="80" zoomScaleNormal="80" zoomScaleSheetLayoutView="80" workbookViewId="0">
      <selection activeCell="R13" sqref="R13:U13"/>
    </sheetView>
  </sheetViews>
  <sheetFormatPr baseColWidth="10" defaultColWidth="10" defaultRowHeight="12.75" x14ac:dyDescent="0.2"/>
  <cols>
    <col min="1" max="1" width="3.5" style="1" customWidth="1"/>
    <col min="2" max="2" width="14.7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9.625" style="1" customWidth="1"/>
    <col min="19" max="19" width="13" style="1" customWidth="1"/>
    <col min="20" max="20" width="10.75" style="1" customWidth="1"/>
    <col min="21" max="21" width="11.37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50" t="s">
        <v>0</v>
      </c>
      <c r="C1" s="50"/>
      <c r="D1" s="50"/>
      <c r="E1" s="50"/>
      <c r="F1" s="50"/>
      <c r="G1" s="50"/>
      <c r="H1" s="50"/>
      <c r="I1" s="50"/>
      <c r="J1" s="50"/>
      <c r="K1" s="50"/>
      <c r="L1" s="50"/>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51.75" customHeight="1" thickTop="1" x14ac:dyDescent="0.2">
      <c r="B4" s="8" t="s">
        <v>6</v>
      </c>
      <c r="C4" s="9" t="s">
        <v>278</v>
      </c>
      <c r="D4" s="57" t="s">
        <v>279</v>
      </c>
      <c r="E4" s="57"/>
      <c r="F4" s="57"/>
      <c r="G4" s="57"/>
      <c r="H4" s="57"/>
      <c r="I4" s="10"/>
      <c r="J4" s="11" t="s">
        <v>9</v>
      </c>
      <c r="K4" s="12" t="s">
        <v>10</v>
      </c>
      <c r="L4" s="58" t="s">
        <v>11</v>
      </c>
      <c r="M4" s="58"/>
      <c r="N4" s="58"/>
      <c r="O4" s="58"/>
      <c r="P4" s="11" t="s">
        <v>12</v>
      </c>
      <c r="Q4" s="58" t="s">
        <v>147</v>
      </c>
      <c r="R4" s="58"/>
      <c r="S4" s="11" t="s">
        <v>14</v>
      </c>
      <c r="T4" s="58"/>
      <c r="U4" s="59"/>
    </row>
    <row r="5" spans="1:21" ht="15.75" customHeight="1" x14ac:dyDescent="0.2">
      <c r="B5" s="54" t="s">
        <v>15</v>
      </c>
      <c r="C5" s="55"/>
      <c r="D5" s="55"/>
      <c r="E5" s="55"/>
      <c r="F5" s="55"/>
      <c r="G5" s="55"/>
      <c r="H5" s="55"/>
      <c r="I5" s="55"/>
      <c r="J5" s="55"/>
      <c r="K5" s="55"/>
      <c r="L5" s="55"/>
      <c r="M5" s="55"/>
      <c r="N5" s="55"/>
      <c r="O5" s="55"/>
      <c r="P5" s="55"/>
      <c r="Q5" s="55"/>
      <c r="R5" s="55"/>
      <c r="S5" s="55"/>
      <c r="T5" s="55"/>
      <c r="U5" s="56"/>
    </row>
    <row r="6" spans="1:21" ht="48.75" customHeight="1" thickBot="1" x14ac:dyDescent="0.25">
      <c r="B6" s="13" t="s">
        <v>16</v>
      </c>
      <c r="C6" s="60" t="s">
        <v>280</v>
      </c>
      <c r="D6" s="60"/>
      <c r="E6" s="60"/>
      <c r="F6" s="60"/>
      <c r="G6" s="60"/>
      <c r="H6" s="14"/>
      <c r="I6" s="14"/>
      <c r="J6" s="14" t="s">
        <v>18</v>
      </c>
      <c r="K6" s="60" t="s">
        <v>281</v>
      </c>
      <c r="L6" s="60"/>
      <c r="M6" s="60"/>
      <c r="N6" s="15"/>
      <c r="O6" s="16" t="s">
        <v>20</v>
      </c>
      <c r="P6" s="60" t="s">
        <v>282</v>
      </c>
      <c r="Q6" s="60"/>
      <c r="R6" s="17"/>
      <c r="S6" s="16" t="s">
        <v>22</v>
      </c>
      <c r="T6" s="60" t="s">
        <v>283</v>
      </c>
      <c r="U6" s="61"/>
    </row>
    <row r="7" spans="1:21" ht="14.25" customHeight="1" thickTop="1" thickBot="1" x14ac:dyDescent="0.25">
      <c r="B7" s="4" t="s">
        <v>24</v>
      </c>
      <c r="C7" s="5"/>
      <c r="D7" s="5"/>
      <c r="E7" s="5"/>
      <c r="F7" s="5"/>
      <c r="G7" s="5"/>
      <c r="H7" s="6"/>
      <c r="I7" s="6"/>
      <c r="J7" s="6"/>
      <c r="K7" s="6"/>
      <c r="L7" s="6"/>
      <c r="M7" s="6"/>
      <c r="N7" s="6"/>
      <c r="O7" s="6"/>
      <c r="P7" s="6"/>
      <c r="Q7" s="6"/>
      <c r="R7" s="6"/>
      <c r="S7" s="6"/>
      <c r="T7" s="6"/>
      <c r="U7" s="7"/>
    </row>
    <row r="8" spans="1:21" ht="16.5" customHeight="1" thickTop="1" x14ac:dyDescent="0.2">
      <c r="B8" s="62" t="s">
        <v>25</v>
      </c>
      <c r="C8" s="65" t="s">
        <v>26</v>
      </c>
      <c r="D8" s="66"/>
      <c r="E8" s="66"/>
      <c r="F8" s="66"/>
      <c r="G8" s="66"/>
      <c r="H8" s="67"/>
      <c r="I8" s="74" t="s">
        <v>27</v>
      </c>
      <c r="J8" s="75"/>
      <c r="K8" s="75"/>
      <c r="L8" s="75"/>
      <c r="M8" s="75"/>
      <c r="N8" s="75"/>
      <c r="O8" s="75"/>
      <c r="P8" s="75"/>
      <c r="Q8" s="75"/>
      <c r="R8" s="75"/>
      <c r="S8" s="76"/>
      <c r="T8" s="77" t="s">
        <v>28</v>
      </c>
      <c r="U8" s="78"/>
    </row>
    <row r="9" spans="1:21" ht="19.5" customHeight="1" x14ac:dyDescent="0.2">
      <c r="B9" s="63"/>
      <c r="C9" s="68"/>
      <c r="D9" s="69"/>
      <c r="E9" s="69"/>
      <c r="F9" s="69"/>
      <c r="G9" s="69"/>
      <c r="H9" s="70"/>
      <c r="I9" s="79" t="s">
        <v>29</v>
      </c>
      <c r="J9" s="80"/>
      <c r="K9" s="80"/>
      <c r="L9" s="80" t="s">
        <v>30</v>
      </c>
      <c r="M9" s="80"/>
      <c r="N9" s="80"/>
      <c r="O9" s="80"/>
      <c r="P9" s="80" t="s">
        <v>31</v>
      </c>
      <c r="Q9" s="80" t="s">
        <v>32</v>
      </c>
      <c r="R9" s="83" t="s">
        <v>33</v>
      </c>
      <c r="S9" s="84"/>
      <c r="T9" s="80" t="s">
        <v>34</v>
      </c>
      <c r="U9" s="85" t="s">
        <v>35</v>
      </c>
    </row>
    <row r="10" spans="1:21" ht="26.25" customHeight="1" thickBot="1" x14ac:dyDescent="0.25">
      <c r="B10" s="64"/>
      <c r="C10" s="71"/>
      <c r="D10" s="72"/>
      <c r="E10" s="72"/>
      <c r="F10" s="72"/>
      <c r="G10" s="72"/>
      <c r="H10" s="73"/>
      <c r="I10" s="81"/>
      <c r="J10" s="82"/>
      <c r="K10" s="82"/>
      <c r="L10" s="82"/>
      <c r="M10" s="82"/>
      <c r="N10" s="82"/>
      <c r="O10" s="82"/>
      <c r="P10" s="82"/>
      <c r="Q10" s="82"/>
      <c r="R10" s="19" t="s">
        <v>36</v>
      </c>
      <c r="S10" s="20" t="s">
        <v>37</v>
      </c>
      <c r="T10" s="82"/>
      <c r="U10" s="86"/>
    </row>
    <row r="11" spans="1:21" ht="96.75" customHeight="1" thickTop="1" thickBot="1" x14ac:dyDescent="0.25">
      <c r="A11" s="21"/>
      <c r="B11" s="22" t="s">
        <v>38</v>
      </c>
      <c r="C11" s="87" t="s">
        <v>284</v>
      </c>
      <c r="D11" s="87"/>
      <c r="E11" s="87"/>
      <c r="F11" s="87"/>
      <c r="G11" s="87"/>
      <c r="H11" s="87"/>
      <c r="I11" s="87" t="s">
        <v>285</v>
      </c>
      <c r="J11" s="87"/>
      <c r="K11" s="87"/>
      <c r="L11" s="87" t="s">
        <v>286</v>
      </c>
      <c r="M11" s="87"/>
      <c r="N11" s="87"/>
      <c r="O11" s="87"/>
      <c r="P11" s="23" t="s">
        <v>48</v>
      </c>
      <c r="Q11" s="23" t="s">
        <v>43</v>
      </c>
      <c r="R11" s="23">
        <v>25.64</v>
      </c>
      <c r="S11" s="23">
        <v>28.97</v>
      </c>
      <c r="T11" s="23">
        <v>42.34</v>
      </c>
      <c r="U11" s="45">
        <f>146.15</f>
        <v>146.15</v>
      </c>
    </row>
    <row r="12" spans="1:21" ht="75" customHeight="1" thickTop="1" thickBot="1" x14ac:dyDescent="0.25">
      <c r="A12" s="21"/>
      <c r="B12" s="22" t="s">
        <v>44</v>
      </c>
      <c r="C12" s="87" t="s">
        <v>287</v>
      </c>
      <c r="D12" s="87"/>
      <c r="E12" s="87"/>
      <c r="F12" s="87"/>
      <c r="G12" s="87"/>
      <c r="H12" s="87"/>
      <c r="I12" s="87" t="s">
        <v>288</v>
      </c>
      <c r="J12" s="87"/>
      <c r="K12" s="87"/>
      <c r="L12" s="87" t="s">
        <v>289</v>
      </c>
      <c r="M12" s="87"/>
      <c r="N12" s="87"/>
      <c r="O12" s="87"/>
      <c r="P12" s="23" t="s">
        <v>290</v>
      </c>
      <c r="Q12" s="23" t="s">
        <v>160</v>
      </c>
      <c r="R12" s="104">
        <v>1.2</v>
      </c>
      <c r="S12" s="104">
        <v>1.2</v>
      </c>
      <c r="T12" s="104">
        <v>1.31</v>
      </c>
      <c r="U12" s="105">
        <v>109.17</v>
      </c>
    </row>
    <row r="13" spans="1:21" ht="75" customHeight="1" thickTop="1" x14ac:dyDescent="0.2">
      <c r="A13" s="21"/>
      <c r="B13" s="22" t="s">
        <v>50</v>
      </c>
      <c r="C13" s="87" t="s">
        <v>291</v>
      </c>
      <c r="D13" s="87"/>
      <c r="E13" s="87"/>
      <c r="F13" s="87"/>
      <c r="G13" s="87"/>
      <c r="H13" s="87"/>
      <c r="I13" s="87" t="s">
        <v>292</v>
      </c>
      <c r="J13" s="87"/>
      <c r="K13" s="87"/>
      <c r="L13" s="87" t="s">
        <v>293</v>
      </c>
      <c r="M13" s="87"/>
      <c r="N13" s="87"/>
      <c r="O13" s="87"/>
      <c r="P13" s="23" t="s">
        <v>198</v>
      </c>
      <c r="Q13" s="23" t="s">
        <v>43</v>
      </c>
      <c r="R13" s="104">
        <v>1.76</v>
      </c>
      <c r="S13" s="104">
        <v>1.76</v>
      </c>
      <c r="T13" s="104">
        <v>4.92</v>
      </c>
      <c r="U13" s="105">
        <f>279.46</f>
        <v>279.45999999999998</v>
      </c>
    </row>
    <row r="14" spans="1:21" ht="75" customHeight="1" thickBot="1" x14ac:dyDescent="0.25">
      <c r="A14" s="21"/>
      <c r="B14" s="24" t="s">
        <v>55</v>
      </c>
      <c r="C14" s="88" t="s">
        <v>55</v>
      </c>
      <c r="D14" s="88"/>
      <c r="E14" s="88"/>
      <c r="F14" s="88"/>
      <c r="G14" s="88"/>
      <c r="H14" s="88"/>
      <c r="I14" s="88" t="s">
        <v>294</v>
      </c>
      <c r="J14" s="88"/>
      <c r="K14" s="88"/>
      <c r="L14" s="88" t="s">
        <v>295</v>
      </c>
      <c r="M14" s="88"/>
      <c r="N14" s="88"/>
      <c r="O14" s="88"/>
      <c r="P14" s="25" t="s">
        <v>296</v>
      </c>
      <c r="Q14" s="25" t="s">
        <v>134</v>
      </c>
      <c r="R14" s="43">
        <v>12254</v>
      </c>
      <c r="S14" s="43">
        <v>12254</v>
      </c>
      <c r="T14" s="43">
        <v>11904</v>
      </c>
      <c r="U14" s="46">
        <f>97.14</f>
        <v>97.14</v>
      </c>
    </row>
    <row r="15" spans="1:21" ht="75" customHeight="1" thickTop="1" x14ac:dyDescent="0.2">
      <c r="A15" s="21"/>
      <c r="B15" s="22" t="s">
        <v>61</v>
      </c>
      <c r="C15" s="87" t="s">
        <v>297</v>
      </c>
      <c r="D15" s="87"/>
      <c r="E15" s="87"/>
      <c r="F15" s="87"/>
      <c r="G15" s="87"/>
      <c r="H15" s="87"/>
      <c r="I15" s="87" t="s">
        <v>298</v>
      </c>
      <c r="J15" s="87"/>
      <c r="K15" s="87"/>
      <c r="L15" s="87" t="s">
        <v>299</v>
      </c>
      <c r="M15" s="87"/>
      <c r="N15" s="87"/>
      <c r="O15" s="87"/>
      <c r="P15" s="23" t="s">
        <v>198</v>
      </c>
      <c r="Q15" s="23" t="s">
        <v>71</v>
      </c>
      <c r="R15" s="23">
        <v>0.33</v>
      </c>
      <c r="S15" s="23">
        <v>1.02</v>
      </c>
      <c r="T15" s="23">
        <v>7.08</v>
      </c>
      <c r="U15" s="45">
        <f>694.12</f>
        <v>694.12</v>
      </c>
    </row>
    <row r="16" spans="1:21" ht="75" customHeight="1" x14ac:dyDescent="0.2">
      <c r="A16" s="21"/>
      <c r="B16" s="24" t="s">
        <v>55</v>
      </c>
      <c r="C16" s="88" t="s">
        <v>300</v>
      </c>
      <c r="D16" s="88"/>
      <c r="E16" s="88"/>
      <c r="F16" s="88"/>
      <c r="G16" s="88"/>
      <c r="H16" s="88"/>
      <c r="I16" s="88" t="s">
        <v>301</v>
      </c>
      <c r="J16" s="88"/>
      <c r="K16" s="88"/>
      <c r="L16" s="88" t="s">
        <v>302</v>
      </c>
      <c r="M16" s="88"/>
      <c r="N16" s="88"/>
      <c r="O16" s="88"/>
      <c r="P16" s="25" t="s">
        <v>48</v>
      </c>
      <c r="Q16" s="25" t="s">
        <v>167</v>
      </c>
      <c r="R16" s="25">
        <v>99.43</v>
      </c>
      <c r="S16" s="25">
        <v>99.43</v>
      </c>
      <c r="T16" s="25">
        <v>79.930000000000007</v>
      </c>
      <c r="U16" s="46">
        <f>80.39</f>
        <v>80.39</v>
      </c>
    </row>
    <row r="17" spans="1:22" ht="99.75" customHeight="1" x14ac:dyDescent="0.2">
      <c r="A17" s="21"/>
      <c r="B17" s="24" t="s">
        <v>55</v>
      </c>
      <c r="C17" s="88" t="s">
        <v>303</v>
      </c>
      <c r="D17" s="88"/>
      <c r="E17" s="88"/>
      <c r="F17" s="88"/>
      <c r="G17" s="88"/>
      <c r="H17" s="88"/>
      <c r="I17" s="88" t="s">
        <v>304</v>
      </c>
      <c r="J17" s="88"/>
      <c r="K17" s="88"/>
      <c r="L17" s="88" t="s">
        <v>305</v>
      </c>
      <c r="M17" s="88"/>
      <c r="N17" s="88"/>
      <c r="O17" s="88"/>
      <c r="P17" s="25" t="s">
        <v>48</v>
      </c>
      <c r="Q17" s="25" t="s">
        <v>66</v>
      </c>
      <c r="R17" s="25">
        <v>35</v>
      </c>
      <c r="S17" s="25">
        <v>35</v>
      </c>
      <c r="T17" s="25">
        <v>100</v>
      </c>
      <c r="U17" s="46">
        <f>285.71</f>
        <v>285.70999999999998</v>
      </c>
    </row>
    <row r="18" spans="1:22" ht="75" customHeight="1" x14ac:dyDescent="0.2">
      <c r="A18" s="21"/>
      <c r="B18" s="24" t="s">
        <v>55</v>
      </c>
      <c r="C18" s="88" t="s">
        <v>306</v>
      </c>
      <c r="D18" s="88"/>
      <c r="E18" s="88"/>
      <c r="F18" s="88"/>
      <c r="G18" s="88"/>
      <c r="H18" s="88"/>
      <c r="I18" s="88" t="s">
        <v>307</v>
      </c>
      <c r="J18" s="88"/>
      <c r="K18" s="88"/>
      <c r="L18" s="88" t="s">
        <v>308</v>
      </c>
      <c r="M18" s="88"/>
      <c r="N18" s="88"/>
      <c r="O18" s="88"/>
      <c r="P18" s="25" t="s">
        <v>48</v>
      </c>
      <c r="Q18" s="25" t="s">
        <v>66</v>
      </c>
      <c r="R18" s="25">
        <v>16.329999999999998</v>
      </c>
      <c r="S18" s="25">
        <v>16.329999999999998</v>
      </c>
      <c r="T18" s="25">
        <v>59.33</v>
      </c>
      <c r="U18" s="46">
        <f>363.27</f>
        <v>363.27</v>
      </c>
    </row>
    <row r="19" spans="1:22" ht="75" customHeight="1" thickBot="1" x14ac:dyDescent="0.25">
      <c r="A19" s="21"/>
      <c r="B19" s="24" t="s">
        <v>55</v>
      </c>
      <c r="C19" s="88" t="s">
        <v>309</v>
      </c>
      <c r="D19" s="88"/>
      <c r="E19" s="88"/>
      <c r="F19" s="88"/>
      <c r="G19" s="88"/>
      <c r="H19" s="88"/>
      <c r="I19" s="88" t="s">
        <v>310</v>
      </c>
      <c r="J19" s="88"/>
      <c r="K19" s="88"/>
      <c r="L19" s="88" t="s">
        <v>311</v>
      </c>
      <c r="M19" s="88"/>
      <c r="N19" s="88"/>
      <c r="O19" s="88"/>
      <c r="P19" s="25" t="s">
        <v>48</v>
      </c>
      <c r="Q19" s="25" t="s">
        <v>66</v>
      </c>
      <c r="R19" s="25">
        <v>68.290000000000006</v>
      </c>
      <c r="S19" s="25">
        <v>68.290000000000006</v>
      </c>
      <c r="T19" s="25">
        <v>76.73</v>
      </c>
      <c r="U19" s="46">
        <f>112.36</f>
        <v>112.36</v>
      </c>
    </row>
    <row r="20" spans="1:22" ht="14.25" customHeight="1" thickTop="1" thickBot="1" x14ac:dyDescent="0.25">
      <c r="B20" s="4" t="s">
        <v>80</v>
      </c>
      <c r="C20" s="5"/>
      <c r="D20" s="5"/>
      <c r="E20" s="5"/>
      <c r="F20" s="5"/>
      <c r="G20" s="5"/>
      <c r="H20" s="6"/>
      <c r="I20" s="6"/>
      <c r="J20" s="6"/>
      <c r="K20" s="6"/>
      <c r="L20" s="6"/>
      <c r="M20" s="6"/>
      <c r="N20" s="6"/>
      <c r="O20" s="6"/>
      <c r="P20" s="6"/>
      <c r="Q20" s="6"/>
      <c r="R20" s="6"/>
      <c r="S20" s="6"/>
      <c r="T20" s="6"/>
      <c r="U20" s="7"/>
      <c r="V20" s="26"/>
    </row>
    <row r="21" spans="1:22" ht="26.25" customHeight="1" thickTop="1" x14ac:dyDescent="0.2">
      <c r="B21" s="27"/>
      <c r="C21" s="28"/>
      <c r="D21" s="28"/>
      <c r="E21" s="28"/>
      <c r="F21" s="28"/>
      <c r="G21" s="28"/>
      <c r="H21" s="29"/>
      <c r="I21" s="29"/>
      <c r="J21" s="29"/>
      <c r="K21" s="29"/>
      <c r="L21" s="29"/>
      <c r="M21" s="29"/>
      <c r="N21" s="29"/>
      <c r="O21" s="29"/>
      <c r="P21" s="29"/>
      <c r="Q21" s="29"/>
      <c r="R21" s="30"/>
      <c r="S21" s="31" t="s">
        <v>33</v>
      </c>
      <c r="T21" s="31" t="s">
        <v>81</v>
      </c>
      <c r="U21" s="18" t="s">
        <v>82</v>
      </c>
    </row>
    <row r="22" spans="1:22" ht="26.25" customHeight="1" thickBot="1" x14ac:dyDescent="0.25">
      <c r="B22" s="32"/>
      <c r="C22" s="33"/>
      <c r="D22" s="33"/>
      <c r="E22" s="33"/>
      <c r="F22" s="33"/>
      <c r="G22" s="33"/>
      <c r="H22" s="34"/>
      <c r="I22" s="34"/>
      <c r="J22" s="34"/>
      <c r="K22" s="34"/>
      <c r="L22" s="34"/>
      <c r="M22" s="34"/>
      <c r="N22" s="34"/>
      <c r="O22" s="34"/>
      <c r="P22" s="34"/>
      <c r="Q22" s="34"/>
      <c r="R22" s="34"/>
      <c r="S22" s="35" t="s">
        <v>83</v>
      </c>
      <c r="T22" s="36" t="s">
        <v>83</v>
      </c>
      <c r="U22" s="36" t="s">
        <v>84</v>
      </c>
    </row>
    <row r="23" spans="1:22" ht="13.5" customHeight="1" thickBot="1" x14ac:dyDescent="0.25">
      <c r="B23" s="92" t="s">
        <v>85</v>
      </c>
      <c r="C23" s="93"/>
      <c r="D23" s="93"/>
      <c r="E23" s="37"/>
      <c r="F23" s="37"/>
      <c r="G23" s="37"/>
      <c r="H23" s="38"/>
      <c r="I23" s="38"/>
      <c r="J23" s="38"/>
      <c r="K23" s="38"/>
      <c r="L23" s="38"/>
      <c r="M23" s="38"/>
      <c r="N23" s="38"/>
      <c r="O23" s="38"/>
      <c r="P23" s="39"/>
      <c r="Q23" s="39"/>
      <c r="R23" s="39"/>
      <c r="S23" s="48">
        <v>12232.224228999999</v>
      </c>
      <c r="T23" s="48">
        <v>12245.389366980011</v>
      </c>
      <c r="U23" s="49">
        <f>+IF(ISERR(T23/S23*100),"N/A",ROUND(T23/S23*100,1))</f>
        <v>100.1</v>
      </c>
    </row>
    <row r="24" spans="1:22" ht="13.5" customHeight="1" thickBot="1" x14ac:dyDescent="0.25">
      <c r="B24" s="94" t="s">
        <v>86</v>
      </c>
      <c r="C24" s="95"/>
      <c r="D24" s="95"/>
      <c r="E24" s="40"/>
      <c r="F24" s="40"/>
      <c r="G24" s="40"/>
      <c r="H24" s="41"/>
      <c r="I24" s="41"/>
      <c r="J24" s="41"/>
      <c r="K24" s="41"/>
      <c r="L24" s="41"/>
      <c r="M24" s="41"/>
      <c r="N24" s="41"/>
      <c r="O24" s="41"/>
      <c r="P24" s="42"/>
      <c r="Q24" s="42"/>
      <c r="R24" s="42"/>
      <c r="S24" s="48">
        <v>12245.389366980011</v>
      </c>
      <c r="T24" s="48">
        <v>12245.389366980011</v>
      </c>
      <c r="U24" s="49">
        <f>+IF(ISERR(T24/S24*100),"N/A",ROUND(T24/S24*100,1))</f>
        <v>100</v>
      </c>
    </row>
    <row r="25" spans="1:22" ht="14.85" customHeight="1" thickTop="1" thickBot="1" x14ac:dyDescent="0.25">
      <c r="B25" s="4" t="s">
        <v>87</v>
      </c>
      <c r="C25" s="5"/>
      <c r="D25" s="5"/>
      <c r="E25" s="5"/>
      <c r="F25" s="5"/>
      <c r="G25" s="5"/>
      <c r="H25" s="6"/>
      <c r="I25" s="6"/>
      <c r="J25" s="6"/>
      <c r="K25" s="6"/>
      <c r="L25" s="6"/>
      <c r="M25" s="6"/>
      <c r="N25" s="6"/>
      <c r="O25" s="6"/>
      <c r="P25" s="6"/>
      <c r="Q25" s="6"/>
      <c r="R25" s="6"/>
      <c r="S25" s="6"/>
      <c r="T25" s="6"/>
      <c r="U25" s="7"/>
    </row>
    <row r="26" spans="1:22" ht="44.25" customHeight="1" thickTop="1" x14ac:dyDescent="0.2">
      <c r="B26" s="89" t="s">
        <v>88</v>
      </c>
      <c r="C26" s="90"/>
      <c r="D26" s="90"/>
      <c r="E26" s="90"/>
      <c r="F26" s="90"/>
      <c r="G26" s="90"/>
      <c r="H26" s="90"/>
      <c r="I26" s="90"/>
      <c r="J26" s="90"/>
      <c r="K26" s="90"/>
      <c r="L26" s="90"/>
      <c r="M26" s="90"/>
      <c r="N26" s="90"/>
      <c r="O26" s="90"/>
      <c r="P26" s="90"/>
      <c r="Q26" s="90"/>
      <c r="R26" s="90"/>
      <c r="S26" s="90"/>
      <c r="T26" s="90"/>
      <c r="U26" s="91"/>
    </row>
    <row r="27" spans="1:22" ht="283.5" customHeight="1" x14ac:dyDescent="0.2">
      <c r="B27" s="96" t="s">
        <v>312</v>
      </c>
      <c r="C27" s="97"/>
      <c r="D27" s="97"/>
      <c r="E27" s="97"/>
      <c r="F27" s="97"/>
      <c r="G27" s="97"/>
      <c r="H27" s="97"/>
      <c r="I27" s="97"/>
      <c r="J27" s="97"/>
      <c r="K27" s="97"/>
      <c r="L27" s="97"/>
      <c r="M27" s="97"/>
      <c r="N27" s="97"/>
      <c r="O27" s="97"/>
      <c r="P27" s="97"/>
      <c r="Q27" s="97"/>
      <c r="R27" s="97"/>
      <c r="S27" s="97"/>
      <c r="T27" s="97"/>
      <c r="U27" s="98"/>
    </row>
    <row r="28" spans="1:22" ht="206.25" customHeight="1" x14ac:dyDescent="0.2">
      <c r="B28" s="96" t="s">
        <v>313</v>
      </c>
      <c r="C28" s="97"/>
      <c r="D28" s="97"/>
      <c r="E28" s="97"/>
      <c r="F28" s="97"/>
      <c r="G28" s="97"/>
      <c r="H28" s="97"/>
      <c r="I28" s="97"/>
      <c r="J28" s="97"/>
      <c r="K28" s="97"/>
      <c r="L28" s="97"/>
      <c r="M28" s="97"/>
      <c r="N28" s="97"/>
      <c r="O28" s="97"/>
      <c r="P28" s="97"/>
      <c r="Q28" s="97"/>
      <c r="R28" s="97"/>
      <c r="S28" s="97"/>
      <c r="T28" s="97"/>
      <c r="U28" s="98"/>
    </row>
    <row r="29" spans="1:22" ht="288" customHeight="1" x14ac:dyDescent="0.2">
      <c r="B29" s="96" t="s">
        <v>314</v>
      </c>
      <c r="C29" s="97"/>
      <c r="D29" s="97"/>
      <c r="E29" s="97"/>
      <c r="F29" s="97"/>
      <c r="G29" s="97"/>
      <c r="H29" s="97"/>
      <c r="I29" s="97"/>
      <c r="J29" s="97"/>
      <c r="K29" s="97"/>
      <c r="L29" s="97"/>
      <c r="M29" s="97"/>
      <c r="N29" s="97"/>
      <c r="O29" s="97"/>
      <c r="P29" s="97"/>
      <c r="Q29" s="97"/>
      <c r="R29" s="97"/>
      <c r="S29" s="97"/>
      <c r="T29" s="97"/>
      <c r="U29" s="98"/>
    </row>
    <row r="30" spans="1:22" ht="271.35000000000002" customHeight="1" x14ac:dyDescent="0.2">
      <c r="B30" s="96" t="s">
        <v>315</v>
      </c>
      <c r="C30" s="97"/>
      <c r="D30" s="97"/>
      <c r="E30" s="97"/>
      <c r="F30" s="97"/>
      <c r="G30" s="97"/>
      <c r="H30" s="97"/>
      <c r="I30" s="97"/>
      <c r="J30" s="97"/>
      <c r="K30" s="97"/>
      <c r="L30" s="97"/>
      <c r="M30" s="97"/>
      <c r="N30" s="97"/>
      <c r="O30" s="97"/>
      <c r="P30" s="97"/>
      <c r="Q30" s="97"/>
      <c r="R30" s="97"/>
      <c r="S30" s="97"/>
      <c r="T30" s="97"/>
      <c r="U30" s="98"/>
    </row>
    <row r="31" spans="1:22" ht="258" customHeight="1" x14ac:dyDescent="0.2">
      <c r="B31" s="96" t="s">
        <v>316</v>
      </c>
      <c r="C31" s="97"/>
      <c r="D31" s="97"/>
      <c r="E31" s="97"/>
      <c r="F31" s="97"/>
      <c r="G31" s="97"/>
      <c r="H31" s="97"/>
      <c r="I31" s="97"/>
      <c r="J31" s="97"/>
      <c r="K31" s="97"/>
      <c r="L31" s="97"/>
      <c r="M31" s="97"/>
      <c r="N31" s="97"/>
      <c r="O31" s="97"/>
      <c r="P31" s="97"/>
      <c r="Q31" s="97"/>
      <c r="R31" s="97"/>
      <c r="S31" s="97"/>
      <c r="T31" s="97"/>
      <c r="U31" s="98"/>
    </row>
    <row r="32" spans="1:22" ht="86.85" customHeight="1" x14ac:dyDescent="0.2">
      <c r="B32" s="96" t="s">
        <v>317</v>
      </c>
      <c r="C32" s="97"/>
      <c r="D32" s="97"/>
      <c r="E32" s="97"/>
      <c r="F32" s="97"/>
      <c r="G32" s="97"/>
      <c r="H32" s="97"/>
      <c r="I32" s="97"/>
      <c r="J32" s="97"/>
      <c r="K32" s="97"/>
      <c r="L32" s="97"/>
      <c r="M32" s="97"/>
      <c r="N32" s="97"/>
      <c r="O32" s="97"/>
      <c r="P32" s="97"/>
      <c r="Q32" s="97"/>
      <c r="R32" s="97"/>
      <c r="S32" s="97"/>
      <c r="T32" s="97"/>
      <c r="U32" s="98"/>
    </row>
    <row r="33" spans="2:21" ht="48" customHeight="1" x14ac:dyDescent="0.2">
      <c r="B33" s="96" t="s">
        <v>318</v>
      </c>
      <c r="C33" s="97"/>
      <c r="D33" s="97"/>
      <c r="E33" s="97"/>
      <c r="F33" s="97"/>
      <c r="G33" s="97"/>
      <c r="H33" s="97"/>
      <c r="I33" s="97"/>
      <c r="J33" s="97"/>
      <c r="K33" s="97"/>
      <c r="L33" s="97"/>
      <c r="M33" s="97"/>
      <c r="N33" s="97"/>
      <c r="O33" s="97"/>
      <c r="P33" s="97"/>
      <c r="Q33" s="97"/>
      <c r="R33" s="97"/>
      <c r="S33" s="97"/>
      <c r="T33" s="97"/>
      <c r="U33" s="98"/>
    </row>
    <row r="34" spans="2:21" ht="78.75" customHeight="1" x14ac:dyDescent="0.2">
      <c r="B34" s="96" t="s">
        <v>319</v>
      </c>
      <c r="C34" s="97"/>
      <c r="D34" s="97"/>
      <c r="E34" s="97"/>
      <c r="F34" s="97"/>
      <c r="G34" s="97"/>
      <c r="H34" s="97"/>
      <c r="I34" s="97"/>
      <c r="J34" s="97"/>
      <c r="K34" s="97"/>
      <c r="L34" s="97"/>
      <c r="M34" s="97"/>
      <c r="N34" s="97"/>
      <c r="O34" s="97"/>
      <c r="P34" s="97"/>
      <c r="Q34" s="97"/>
      <c r="R34" s="97"/>
      <c r="S34" s="97"/>
      <c r="T34" s="97"/>
      <c r="U34" s="98"/>
    </row>
    <row r="35" spans="2:21" ht="86.25" customHeight="1" thickBot="1" x14ac:dyDescent="0.25">
      <c r="B35" s="99" t="s">
        <v>320</v>
      </c>
      <c r="C35" s="100"/>
      <c r="D35" s="100"/>
      <c r="E35" s="100"/>
      <c r="F35" s="100"/>
      <c r="G35" s="100"/>
      <c r="H35" s="100"/>
      <c r="I35" s="100"/>
      <c r="J35" s="100"/>
      <c r="K35" s="100"/>
      <c r="L35" s="100"/>
      <c r="M35" s="100"/>
      <c r="N35" s="100"/>
      <c r="O35" s="100"/>
      <c r="P35" s="100"/>
      <c r="Q35" s="100"/>
      <c r="R35" s="100"/>
      <c r="S35" s="100"/>
      <c r="T35" s="100"/>
      <c r="U35" s="101"/>
    </row>
  </sheetData>
  <mergeCells count="60">
    <mergeCell ref="B35:U35"/>
    <mergeCell ref="B23:D23"/>
    <mergeCell ref="B24:D24"/>
    <mergeCell ref="B26:U26"/>
    <mergeCell ref="B27:U27"/>
    <mergeCell ref="B28:U28"/>
    <mergeCell ref="B29:U29"/>
    <mergeCell ref="B30:U30"/>
    <mergeCell ref="B31:U31"/>
    <mergeCell ref="B32:U32"/>
    <mergeCell ref="B33:U33"/>
    <mergeCell ref="B34:U34"/>
    <mergeCell ref="C18:H18"/>
    <mergeCell ref="I18:K18"/>
    <mergeCell ref="L18:O18"/>
    <mergeCell ref="C19:H19"/>
    <mergeCell ref="I19:K19"/>
    <mergeCell ref="L19:O19"/>
    <mergeCell ref="C16:H16"/>
    <mergeCell ref="I16:K16"/>
    <mergeCell ref="L16:O16"/>
    <mergeCell ref="C17:H17"/>
    <mergeCell ref="I17:K17"/>
    <mergeCell ref="L17:O17"/>
    <mergeCell ref="C14:H14"/>
    <mergeCell ref="I14:K14"/>
    <mergeCell ref="L14:O14"/>
    <mergeCell ref="C15:H15"/>
    <mergeCell ref="I15:K15"/>
    <mergeCell ref="L15:O15"/>
    <mergeCell ref="C12:H12"/>
    <mergeCell ref="I12:K12"/>
    <mergeCell ref="L12:O12"/>
    <mergeCell ref="C13:H13"/>
    <mergeCell ref="I13:K13"/>
    <mergeCell ref="L13:O13"/>
    <mergeCell ref="C11:H11"/>
    <mergeCell ref="I11:K11"/>
    <mergeCell ref="L11:O11"/>
    <mergeCell ref="C6:G6"/>
    <mergeCell ref="K6:M6"/>
    <mergeCell ref="P6:Q6"/>
    <mergeCell ref="T6:U6"/>
    <mergeCell ref="B8:B10"/>
    <mergeCell ref="C8:H10"/>
    <mergeCell ref="I8:S8"/>
    <mergeCell ref="T8:U8"/>
    <mergeCell ref="I9:K10"/>
    <mergeCell ref="L9:O10"/>
    <mergeCell ref="P9:P10"/>
    <mergeCell ref="Q9:Q10"/>
    <mergeCell ref="R9:S9"/>
    <mergeCell ref="T9:T10"/>
    <mergeCell ref="U9:U10"/>
    <mergeCell ref="B5:U5"/>
    <mergeCell ref="B1:L1"/>
    <mergeCell ref="D4:H4"/>
    <mergeCell ref="L4:O4"/>
    <mergeCell ref="Q4:R4"/>
    <mergeCell ref="T4:U4"/>
  </mergeCells>
  <printOptions horizontalCentered="1"/>
  <pageMargins left="0.78740157480314965" right="0.78740157480314965" top="0.98425196850393704" bottom="0.98425196850393704" header="0" footer="0.39370078740157483"/>
  <pageSetup scale="60" fitToHeight="10" orientation="landscape" r:id="rId1"/>
  <headerFooter>
    <oddFooter>&amp;R&amp;P de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51"/>
  <sheetViews>
    <sheetView view="pageBreakPreview" topLeftCell="A10" zoomScale="80" zoomScaleNormal="80" zoomScaleSheetLayoutView="80" workbookViewId="0">
      <selection activeCell="B35" sqref="B35:U35"/>
    </sheetView>
  </sheetViews>
  <sheetFormatPr baseColWidth="10" defaultColWidth="10" defaultRowHeight="12.75" x14ac:dyDescent="0.2"/>
  <cols>
    <col min="1" max="1" width="3.5" style="1" customWidth="1"/>
    <col min="2" max="2" width="14.7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9.625" style="1" customWidth="1"/>
    <col min="19" max="19" width="13" style="1" customWidth="1"/>
    <col min="20" max="20" width="10.75" style="1" customWidth="1"/>
    <col min="21" max="21" width="11.37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50" t="s">
        <v>0</v>
      </c>
      <c r="C1" s="50"/>
      <c r="D1" s="50"/>
      <c r="E1" s="50"/>
      <c r="F1" s="50"/>
      <c r="G1" s="50"/>
      <c r="H1" s="50"/>
      <c r="I1" s="50"/>
      <c r="J1" s="50"/>
      <c r="K1" s="50"/>
      <c r="L1" s="50"/>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51.75" customHeight="1" thickTop="1" x14ac:dyDescent="0.2">
      <c r="B4" s="8" t="s">
        <v>6</v>
      </c>
      <c r="C4" s="9" t="s">
        <v>321</v>
      </c>
      <c r="D4" s="57" t="s">
        <v>322</v>
      </c>
      <c r="E4" s="57"/>
      <c r="F4" s="57"/>
      <c r="G4" s="57"/>
      <c r="H4" s="57"/>
      <c r="I4" s="10"/>
      <c r="J4" s="11" t="s">
        <v>9</v>
      </c>
      <c r="K4" s="12" t="s">
        <v>10</v>
      </c>
      <c r="L4" s="58" t="s">
        <v>11</v>
      </c>
      <c r="M4" s="58"/>
      <c r="N4" s="58"/>
      <c r="O4" s="58"/>
      <c r="P4" s="11" t="s">
        <v>12</v>
      </c>
      <c r="Q4" s="58" t="s">
        <v>323</v>
      </c>
      <c r="R4" s="58"/>
      <c r="S4" s="11" t="s">
        <v>14</v>
      </c>
      <c r="T4" s="58"/>
      <c r="U4" s="59"/>
    </row>
    <row r="5" spans="1:21" ht="15.75" customHeight="1" x14ac:dyDescent="0.2">
      <c r="B5" s="54" t="s">
        <v>15</v>
      </c>
      <c r="C5" s="55"/>
      <c r="D5" s="55"/>
      <c r="E5" s="55"/>
      <c r="F5" s="55"/>
      <c r="G5" s="55"/>
      <c r="H5" s="55"/>
      <c r="I5" s="55"/>
      <c r="J5" s="55"/>
      <c r="K5" s="55"/>
      <c r="L5" s="55"/>
      <c r="M5" s="55"/>
      <c r="N5" s="55"/>
      <c r="O5" s="55"/>
      <c r="P5" s="55"/>
      <c r="Q5" s="55"/>
      <c r="R5" s="55"/>
      <c r="S5" s="55"/>
      <c r="T5" s="55"/>
      <c r="U5" s="56"/>
    </row>
    <row r="6" spans="1:21" ht="37.5" customHeight="1" thickBot="1" x14ac:dyDescent="0.25">
      <c r="B6" s="13" t="s">
        <v>16</v>
      </c>
      <c r="C6" s="60" t="s">
        <v>17</v>
      </c>
      <c r="D6" s="60"/>
      <c r="E6" s="60"/>
      <c r="F6" s="60"/>
      <c r="G6" s="60"/>
      <c r="H6" s="14"/>
      <c r="I6" s="14"/>
      <c r="J6" s="14" t="s">
        <v>18</v>
      </c>
      <c r="K6" s="60" t="s">
        <v>19</v>
      </c>
      <c r="L6" s="60"/>
      <c r="M6" s="60"/>
      <c r="N6" s="15"/>
      <c r="O6" s="16" t="s">
        <v>20</v>
      </c>
      <c r="P6" s="60" t="s">
        <v>324</v>
      </c>
      <c r="Q6" s="60"/>
      <c r="R6" s="17"/>
      <c r="S6" s="16" t="s">
        <v>22</v>
      </c>
      <c r="T6" s="60" t="s">
        <v>325</v>
      </c>
      <c r="U6" s="61"/>
    </row>
    <row r="7" spans="1:21" ht="14.25" customHeight="1" thickTop="1" thickBot="1" x14ac:dyDescent="0.25">
      <c r="B7" s="4" t="s">
        <v>24</v>
      </c>
      <c r="C7" s="5"/>
      <c r="D7" s="5"/>
      <c r="E7" s="5"/>
      <c r="F7" s="5"/>
      <c r="G7" s="5"/>
      <c r="H7" s="6"/>
      <c r="I7" s="6"/>
      <c r="J7" s="6"/>
      <c r="K7" s="6"/>
      <c r="L7" s="6"/>
      <c r="M7" s="6"/>
      <c r="N7" s="6"/>
      <c r="O7" s="6"/>
      <c r="P7" s="6"/>
      <c r="Q7" s="6"/>
      <c r="R7" s="6"/>
      <c r="S7" s="6"/>
      <c r="T7" s="6"/>
      <c r="U7" s="7"/>
    </row>
    <row r="8" spans="1:21" ht="16.5" customHeight="1" thickTop="1" x14ac:dyDescent="0.2">
      <c r="B8" s="62" t="s">
        <v>25</v>
      </c>
      <c r="C8" s="65" t="s">
        <v>26</v>
      </c>
      <c r="D8" s="66"/>
      <c r="E8" s="66"/>
      <c r="F8" s="66"/>
      <c r="G8" s="66"/>
      <c r="H8" s="67"/>
      <c r="I8" s="74" t="s">
        <v>27</v>
      </c>
      <c r="J8" s="75"/>
      <c r="K8" s="75"/>
      <c r="L8" s="75"/>
      <c r="M8" s="75"/>
      <c r="N8" s="75"/>
      <c r="O8" s="75"/>
      <c r="P8" s="75"/>
      <c r="Q8" s="75"/>
      <c r="R8" s="75"/>
      <c r="S8" s="76"/>
      <c r="T8" s="77" t="s">
        <v>28</v>
      </c>
      <c r="U8" s="78"/>
    </row>
    <row r="9" spans="1:21" ht="19.5" customHeight="1" x14ac:dyDescent="0.2">
      <c r="B9" s="63"/>
      <c r="C9" s="68"/>
      <c r="D9" s="69"/>
      <c r="E9" s="69"/>
      <c r="F9" s="69"/>
      <c r="G9" s="69"/>
      <c r="H9" s="70"/>
      <c r="I9" s="79" t="s">
        <v>29</v>
      </c>
      <c r="J9" s="80"/>
      <c r="K9" s="80"/>
      <c r="L9" s="80" t="s">
        <v>30</v>
      </c>
      <c r="M9" s="80"/>
      <c r="N9" s="80"/>
      <c r="O9" s="80"/>
      <c r="P9" s="80" t="s">
        <v>31</v>
      </c>
      <c r="Q9" s="80" t="s">
        <v>32</v>
      </c>
      <c r="R9" s="83" t="s">
        <v>33</v>
      </c>
      <c r="S9" s="84"/>
      <c r="T9" s="80" t="s">
        <v>34</v>
      </c>
      <c r="U9" s="85" t="s">
        <v>35</v>
      </c>
    </row>
    <row r="10" spans="1:21" ht="26.25" customHeight="1" thickBot="1" x14ac:dyDescent="0.25">
      <c r="B10" s="64"/>
      <c r="C10" s="71"/>
      <c r="D10" s="72"/>
      <c r="E10" s="72"/>
      <c r="F10" s="72"/>
      <c r="G10" s="72"/>
      <c r="H10" s="73"/>
      <c r="I10" s="81"/>
      <c r="J10" s="82"/>
      <c r="K10" s="82"/>
      <c r="L10" s="82"/>
      <c r="M10" s="82"/>
      <c r="N10" s="82"/>
      <c r="O10" s="82"/>
      <c r="P10" s="82"/>
      <c r="Q10" s="82"/>
      <c r="R10" s="19" t="s">
        <v>36</v>
      </c>
      <c r="S10" s="20" t="s">
        <v>37</v>
      </c>
      <c r="T10" s="82"/>
      <c r="U10" s="86"/>
    </row>
    <row r="11" spans="1:21" ht="114.75" customHeight="1" thickTop="1" x14ac:dyDescent="0.2">
      <c r="A11" s="21"/>
      <c r="B11" s="22" t="s">
        <v>38</v>
      </c>
      <c r="C11" s="87" t="s">
        <v>326</v>
      </c>
      <c r="D11" s="87"/>
      <c r="E11" s="87"/>
      <c r="F11" s="87"/>
      <c r="G11" s="87"/>
      <c r="H11" s="87"/>
      <c r="I11" s="87" t="s">
        <v>327</v>
      </c>
      <c r="J11" s="87"/>
      <c r="K11" s="87"/>
      <c r="L11" s="87" t="s">
        <v>328</v>
      </c>
      <c r="M11" s="87"/>
      <c r="N11" s="87"/>
      <c r="O11" s="87"/>
      <c r="P11" s="23" t="s">
        <v>48</v>
      </c>
      <c r="Q11" s="23" t="s">
        <v>43</v>
      </c>
      <c r="R11" s="23">
        <v>58</v>
      </c>
      <c r="S11" s="23">
        <v>58</v>
      </c>
      <c r="T11" s="23">
        <v>79.2</v>
      </c>
      <c r="U11" s="45">
        <f>136.6</f>
        <v>136.6</v>
      </c>
    </row>
    <row r="12" spans="1:21" ht="75" customHeight="1" thickBot="1" x14ac:dyDescent="0.25">
      <c r="A12" s="21"/>
      <c r="B12" s="24" t="s">
        <v>55</v>
      </c>
      <c r="C12" s="88" t="s">
        <v>55</v>
      </c>
      <c r="D12" s="88"/>
      <c r="E12" s="88"/>
      <c r="F12" s="88"/>
      <c r="G12" s="88"/>
      <c r="H12" s="88"/>
      <c r="I12" s="88" t="s">
        <v>329</v>
      </c>
      <c r="J12" s="88"/>
      <c r="K12" s="88"/>
      <c r="L12" s="88" t="s">
        <v>330</v>
      </c>
      <c r="M12" s="88"/>
      <c r="N12" s="88"/>
      <c r="O12" s="88"/>
      <c r="P12" s="25" t="s">
        <v>59</v>
      </c>
      <c r="Q12" s="25" t="s">
        <v>43</v>
      </c>
      <c r="R12" s="43" t="s">
        <v>177</v>
      </c>
      <c r="S12" s="43">
        <v>339494</v>
      </c>
      <c r="T12" s="43">
        <v>78.69</v>
      </c>
      <c r="U12" s="46">
        <v>102.9</v>
      </c>
    </row>
    <row r="13" spans="1:21" ht="114.75" customHeight="1" thickTop="1" thickBot="1" x14ac:dyDescent="0.25">
      <c r="A13" s="21"/>
      <c r="B13" s="22" t="s">
        <v>44</v>
      </c>
      <c r="C13" s="87" t="s">
        <v>331</v>
      </c>
      <c r="D13" s="87"/>
      <c r="E13" s="87"/>
      <c r="F13" s="87"/>
      <c r="G13" s="87"/>
      <c r="H13" s="87"/>
      <c r="I13" s="87" t="s">
        <v>332</v>
      </c>
      <c r="J13" s="87"/>
      <c r="K13" s="87"/>
      <c r="L13" s="87" t="s">
        <v>333</v>
      </c>
      <c r="M13" s="87"/>
      <c r="N13" s="87"/>
      <c r="O13" s="87"/>
      <c r="P13" s="23" t="s">
        <v>48</v>
      </c>
      <c r="Q13" s="23" t="s">
        <v>43</v>
      </c>
      <c r="R13" s="23">
        <v>84.21</v>
      </c>
      <c r="S13" s="23">
        <v>84.21</v>
      </c>
      <c r="T13" s="23">
        <v>85.19</v>
      </c>
      <c r="U13" s="45">
        <f>101.16</f>
        <v>101.16</v>
      </c>
    </row>
    <row r="14" spans="1:21" ht="75" customHeight="1" thickTop="1" x14ac:dyDescent="0.2">
      <c r="A14" s="21"/>
      <c r="B14" s="22" t="s">
        <v>50</v>
      </c>
      <c r="C14" s="87" t="s">
        <v>334</v>
      </c>
      <c r="D14" s="87"/>
      <c r="E14" s="87"/>
      <c r="F14" s="87"/>
      <c r="G14" s="87"/>
      <c r="H14" s="87"/>
      <c r="I14" s="87" t="s">
        <v>335</v>
      </c>
      <c r="J14" s="87"/>
      <c r="K14" s="87"/>
      <c r="L14" s="87" t="s">
        <v>336</v>
      </c>
      <c r="M14" s="87"/>
      <c r="N14" s="87"/>
      <c r="O14" s="87"/>
      <c r="P14" s="23" t="s">
        <v>337</v>
      </c>
      <c r="Q14" s="23" t="s">
        <v>66</v>
      </c>
      <c r="R14" s="44">
        <v>38594</v>
      </c>
      <c r="S14" s="44">
        <v>38594</v>
      </c>
      <c r="T14" s="44">
        <v>37164</v>
      </c>
      <c r="U14" s="45">
        <f>96.3</f>
        <v>96.3</v>
      </c>
    </row>
    <row r="15" spans="1:21" ht="75" customHeight="1" x14ac:dyDescent="0.2">
      <c r="A15" s="21"/>
      <c r="B15" s="24" t="s">
        <v>55</v>
      </c>
      <c r="C15" s="88" t="s">
        <v>338</v>
      </c>
      <c r="D15" s="88"/>
      <c r="E15" s="88"/>
      <c r="F15" s="88"/>
      <c r="G15" s="88"/>
      <c r="H15" s="88"/>
      <c r="I15" s="88" t="s">
        <v>339</v>
      </c>
      <c r="J15" s="88"/>
      <c r="K15" s="88"/>
      <c r="L15" s="88" t="s">
        <v>340</v>
      </c>
      <c r="M15" s="88"/>
      <c r="N15" s="88"/>
      <c r="O15" s="88"/>
      <c r="P15" s="25" t="s">
        <v>341</v>
      </c>
      <c r="Q15" s="25" t="s">
        <v>71</v>
      </c>
      <c r="R15" s="43">
        <v>1089</v>
      </c>
      <c r="S15" s="43">
        <v>1089</v>
      </c>
      <c r="T15" s="43">
        <v>1142</v>
      </c>
      <c r="U15" s="46">
        <f>104.9</f>
        <v>104.9</v>
      </c>
    </row>
    <row r="16" spans="1:21" ht="75" customHeight="1" x14ac:dyDescent="0.2">
      <c r="A16" s="21"/>
      <c r="B16" s="24" t="s">
        <v>55</v>
      </c>
      <c r="C16" s="88" t="s">
        <v>342</v>
      </c>
      <c r="D16" s="88"/>
      <c r="E16" s="88"/>
      <c r="F16" s="88"/>
      <c r="G16" s="88"/>
      <c r="H16" s="88"/>
      <c r="I16" s="88" t="s">
        <v>343</v>
      </c>
      <c r="J16" s="88"/>
      <c r="K16" s="88"/>
      <c r="L16" s="88" t="s">
        <v>344</v>
      </c>
      <c r="M16" s="88"/>
      <c r="N16" s="88"/>
      <c r="O16" s="88"/>
      <c r="P16" s="25" t="s">
        <v>345</v>
      </c>
      <c r="Q16" s="25" t="s">
        <v>66</v>
      </c>
      <c r="R16" s="43">
        <v>85549</v>
      </c>
      <c r="S16" s="43">
        <v>85549</v>
      </c>
      <c r="T16" s="43">
        <v>84811</v>
      </c>
      <c r="U16" s="46">
        <f>99.1</f>
        <v>99.1</v>
      </c>
    </row>
    <row r="17" spans="1:22" ht="89.25" customHeight="1" thickBot="1" x14ac:dyDescent="0.25">
      <c r="A17" s="21"/>
      <c r="B17" s="24" t="s">
        <v>55</v>
      </c>
      <c r="C17" s="88" t="s">
        <v>346</v>
      </c>
      <c r="D17" s="88"/>
      <c r="E17" s="88"/>
      <c r="F17" s="88"/>
      <c r="G17" s="88"/>
      <c r="H17" s="88"/>
      <c r="I17" s="88" t="s">
        <v>347</v>
      </c>
      <c r="J17" s="88"/>
      <c r="K17" s="88"/>
      <c r="L17" s="88" t="s">
        <v>348</v>
      </c>
      <c r="M17" s="88"/>
      <c r="N17" s="88"/>
      <c r="O17" s="88"/>
      <c r="P17" s="25" t="s">
        <v>349</v>
      </c>
      <c r="Q17" s="25" t="s">
        <v>71</v>
      </c>
      <c r="R17" s="43">
        <v>7720</v>
      </c>
      <c r="S17" s="43">
        <v>7720</v>
      </c>
      <c r="T17" s="43">
        <v>7563</v>
      </c>
      <c r="U17" s="46">
        <f>98</f>
        <v>98</v>
      </c>
    </row>
    <row r="18" spans="1:22" ht="75" customHeight="1" thickTop="1" x14ac:dyDescent="0.2">
      <c r="A18" s="21"/>
      <c r="B18" s="22" t="s">
        <v>61</v>
      </c>
      <c r="C18" s="87" t="s">
        <v>350</v>
      </c>
      <c r="D18" s="87"/>
      <c r="E18" s="87"/>
      <c r="F18" s="87"/>
      <c r="G18" s="87"/>
      <c r="H18" s="87"/>
      <c r="I18" s="87" t="s">
        <v>351</v>
      </c>
      <c r="J18" s="87"/>
      <c r="K18" s="87"/>
      <c r="L18" s="87" t="s">
        <v>352</v>
      </c>
      <c r="M18" s="87"/>
      <c r="N18" s="87"/>
      <c r="O18" s="87"/>
      <c r="P18" s="23" t="s">
        <v>353</v>
      </c>
      <c r="Q18" s="23" t="s">
        <v>71</v>
      </c>
      <c r="R18" s="44">
        <v>2543</v>
      </c>
      <c r="S18" s="44">
        <v>2543</v>
      </c>
      <c r="T18" s="44">
        <v>2053</v>
      </c>
      <c r="U18" s="45">
        <f>80.7</f>
        <v>80.7</v>
      </c>
    </row>
    <row r="19" spans="1:22" ht="75" customHeight="1" x14ac:dyDescent="0.2">
      <c r="A19" s="21"/>
      <c r="B19" s="24" t="s">
        <v>55</v>
      </c>
      <c r="C19" s="88" t="s">
        <v>354</v>
      </c>
      <c r="D19" s="88"/>
      <c r="E19" s="88"/>
      <c r="F19" s="88"/>
      <c r="G19" s="88"/>
      <c r="H19" s="88"/>
      <c r="I19" s="88" t="s">
        <v>355</v>
      </c>
      <c r="J19" s="88"/>
      <c r="K19" s="88"/>
      <c r="L19" s="88" t="s">
        <v>356</v>
      </c>
      <c r="M19" s="88"/>
      <c r="N19" s="88"/>
      <c r="O19" s="88"/>
      <c r="P19" s="25" t="s">
        <v>349</v>
      </c>
      <c r="Q19" s="25" t="s">
        <v>71</v>
      </c>
      <c r="R19" s="43">
        <v>500</v>
      </c>
      <c r="S19" s="43">
        <v>500</v>
      </c>
      <c r="T19" s="43">
        <v>365</v>
      </c>
      <c r="U19" s="46">
        <f>73</f>
        <v>73</v>
      </c>
    </row>
    <row r="20" spans="1:22" ht="75" customHeight="1" x14ac:dyDescent="0.2">
      <c r="A20" s="21"/>
      <c r="B20" s="24" t="s">
        <v>55</v>
      </c>
      <c r="C20" s="88" t="s">
        <v>357</v>
      </c>
      <c r="D20" s="88"/>
      <c r="E20" s="88"/>
      <c r="F20" s="88"/>
      <c r="G20" s="88"/>
      <c r="H20" s="88"/>
      <c r="I20" s="88" t="s">
        <v>358</v>
      </c>
      <c r="J20" s="88"/>
      <c r="K20" s="88"/>
      <c r="L20" s="88" t="s">
        <v>359</v>
      </c>
      <c r="M20" s="88"/>
      <c r="N20" s="88"/>
      <c r="O20" s="88"/>
      <c r="P20" s="25" t="s">
        <v>360</v>
      </c>
      <c r="Q20" s="25" t="s">
        <v>66</v>
      </c>
      <c r="R20" s="43">
        <v>44580</v>
      </c>
      <c r="S20" s="43">
        <v>44580</v>
      </c>
      <c r="T20" s="43">
        <v>42051</v>
      </c>
      <c r="U20" s="46">
        <f>94.3</f>
        <v>94.3</v>
      </c>
    </row>
    <row r="21" spans="1:22" ht="61.5" customHeight="1" x14ac:dyDescent="0.2">
      <c r="A21" s="21"/>
      <c r="B21" s="24" t="s">
        <v>55</v>
      </c>
      <c r="C21" s="88" t="s">
        <v>361</v>
      </c>
      <c r="D21" s="88"/>
      <c r="E21" s="88"/>
      <c r="F21" s="88"/>
      <c r="G21" s="88"/>
      <c r="H21" s="88"/>
      <c r="I21" s="88" t="s">
        <v>362</v>
      </c>
      <c r="J21" s="88"/>
      <c r="K21" s="88"/>
      <c r="L21" s="88" t="s">
        <v>363</v>
      </c>
      <c r="M21" s="88"/>
      <c r="N21" s="88"/>
      <c r="O21" s="88"/>
      <c r="P21" s="25" t="s">
        <v>364</v>
      </c>
      <c r="Q21" s="25" t="s">
        <v>71</v>
      </c>
      <c r="R21" s="43">
        <v>339494</v>
      </c>
      <c r="S21" s="43">
        <v>339494</v>
      </c>
      <c r="T21" s="43">
        <v>343412</v>
      </c>
      <c r="U21" s="46">
        <f>101.2</f>
        <v>101.2</v>
      </c>
    </row>
    <row r="22" spans="1:22" ht="75" customHeight="1" x14ac:dyDescent="0.2">
      <c r="A22" s="21"/>
      <c r="B22" s="24" t="s">
        <v>55</v>
      </c>
      <c r="C22" s="88" t="s">
        <v>365</v>
      </c>
      <c r="D22" s="88"/>
      <c r="E22" s="88"/>
      <c r="F22" s="88"/>
      <c r="G22" s="88"/>
      <c r="H22" s="88"/>
      <c r="I22" s="88" t="s">
        <v>366</v>
      </c>
      <c r="J22" s="88"/>
      <c r="K22" s="88"/>
      <c r="L22" s="88" t="s">
        <v>367</v>
      </c>
      <c r="M22" s="88"/>
      <c r="N22" s="88"/>
      <c r="O22" s="88"/>
      <c r="P22" s="25" t="s">
        <v>368</v>
      </c>
      <c r="Q22" s="25" t="s">
        <v>71</v>
      </c>
      <c r="R22" s="25" t="s">
        <v>177</v>
      </c>
      <c r="S22" s="25">
        <v>100</v>
      </c>
      <c r="T22" s="25">
        <v>104.9</v>
      </c>
      <c r="U22" s="46">
        <f>104.9</f>
        <v>104.9</v>
      </c>
    </row>
    <row r="23" spans="1:22" ht="90.75" customHeight="1" x14ac:dyDescent="0.2">
      <c r="A23" s="21"/>
      <c r="B23" s="24" t="s">
        <v>55</v>
      </c>
      <c r="C23" s="88" t="s">
        <v>369</v>
      </c>
      <c r="D23" s="88"/>
      <c r="E23" s="88"/>
      <c r="F23" s="88"/>
      <c r="G23" s="88"/>
      <c r="H23" s="88"/>
      <c r="I23" s="88" t="s">
        <v>370</v>
      </c>
      <c r="J23" s="88"/>
      <c r="K23" s="88"/>
      <c r="L23" s="88" t="s">
        <v>371</v>
      </c>
      <c r="M23" s="88"/>
      <c r="N23" s="88"/>
      <c r="O23" s="88"/>
      <c r="P23" s="25" t="s">
        <v>345</v>
      </c>
      <c r="Q23" s="25" t="s">
        <v>66</v>
      </c>
      <c r="R23" s="25">
        <v>100</v>
      </c>
      <c r="S23" s="25">
        <v>100</v>
      </c>
      <c r="T23" s="25">
        <v>102.5</v>
      </c>
      <c r="U23" s="46">
        <f>102.5</f>
        <v>102.5</v>
      </c>
    </row>
    <row r="24" spans="1:22" ht="100.5" customHeight="1" x14ac:dyDescent="0.2">
      <c r="A24" s="21"/>
      <c r="B24" s="24" t="s">
        <v>55</v>
      </c>
      <c r="C24" s="88" t="s">
        <v>372</v>
      </c>
      <c r="D24" s="88"/>
      <c r="E24" s="88"/>
      <c r="F24" s="88"/>
      <c r="G24" s="88"/>
      <c r="H24" s="88"/>
      <c r="I24" s="88" t="s">
        <v>373</v>
      </c>
      <c r="J24" s="88"/>
      <c r="K24" s="88"/>
      <c r="L24" s="88" t="s">
        <v>374</v>
      </c>
      <c r="M24" s="88"/>
      <c r="N24" s="88"/>
      <c r="O24" s="88"/>
      <c r="P24" s="25" t="s">
        <v>345</v>
      </c>
      <c r="Q24" s="25" t="s">
        <v>66</v>
      </c>
      <c r="R24" s="25">
        <v>100</v>
      </c>
      <c r="S24" s="25">
        <v>100</v>
      </c>
      <c r="T24" s="25">
        <v>94.1</v>
      </c>
      <c r="U24" s="46">
        <f>94.1</f>
        <v>94.1</v>
      </c>
    </row>
    <row r="25" spans="1:22" ht="55.5" customHeight="1" x14ac:dyDescent="0.2">
      <c r="A25" s="21"/>
      <c r="B25" s="24" t="s">
        <v>55</v>
      </c>
      <c r="C25" s="88" t="s">
        <v>375</v>
      </c>
      <c r="D25" s="88"/>
      <c r="E25" s="88"/>
      <c r="F25" s="88"/>
      <c r="G25" s="88"/>
      <c r="H25" s="88"/>
      <c r="I25" s="88" t="s">
        <v>376</v>
      </c>
      <c r="J25" s="88"/>
      <c r="K25" s="88"/>
      <c r="L25" s="88" t="s">
        <v>377</v>
      </c>
      <c r="M25" s="88"/>
      <c r="N25" s="88"/>
      <c r="O25" s="88"/>
      <c r="P25" s="25" t="s">
        <v>360</v>
      </c>
      <c r="Q25" s="25" t="s">
        <v>71</v>
      </c>
      <c r="R25" s="43">
        <v>3000</v>
      </c>
      <c r="S25" s="43">
        <v>3000</v>
      </c>
      <c r="T25" s="43">
        <v>2312</v>
      </c>
      <c r="U25" s="46">
        <f>77.1</f>
        <v>77.099999999999994</v>
      </c>
    </row>
    <row r="26" spans="1:22" ht="61.5" customHeight="1" x14ac:dyDescent="0.2">
      <c r="A26" s="21"/>
      <c r="B26" s="24" t="s">
        <v>55</v>
      </c>
      <c r="C26" s="88" t="s">
        <v>378</v>
      </c>
      <c r="D26" s="88"/>
      <c r="E26" s="88"/>
      <c r="F26" s="88"/>
      <c r="G26" s="88"/>
      <c r="H26" s="88"/>
      <c r="I26" s="88" t="s">
        <v>379</v>
      </c>
      <c r="J26" s="88"/>
      <c r="K26" s="88"/>
      <c r="L26" s="88" t="s">
        <v>380</v>
      </c>
      <c r="M26" s="88"/>
      <c r="N26" s="88"/>
      <c r="O26" s="88"/>
      <c r="P26" s="25" t="s">
        <v>61</v>
      </c>
      <c r="Q26" s="25" t="s">
        <v>167</v>
      </c>
      <c r="R26" s="43">
        <v>218</v>
      </c>
      <c r="S26" s="43">
        <v>218</v>
      </c>
      <c r="T26" s="43">
        <v>208</v>
      </c>
      <c r="U26" s="46">
        <f>95.4</f>
        <v>95.4</v>
      </c>
    </row>
    <row r="27" spans="1:22" ht="60" customHeight="1" thickBot="1" x14ac:dyDescent="0.25">
      <c r="A27" s="21"/>
      <c r="B27" s="24" t="s">
        <v>55</v>
      </c>
      <c r="C27" s="88" t="s">
        <v>381</v>
      </c>
      <c r="D27" s="88"/>
      <c r="E27" s="88"/>
      <c r="F27" s="88"/>
      <c r="G27" s="88"/>
      <c r="H27" s="88"/>
      <c r="I27" s="88" t="s">
        <v>382</v>
      </c>
      <c r="J27" s="88"/>
      <c r="K27" s="88"/>
      <c r="L27" s="88" t="s">
        <v>383</v>
      </c>
      <c r="M27" s="88"/>
      <c r="N27" s="88"/>
      <c r="O27" s="88"/>
      <c r="P27" s="25" t="s">
        <v>384</v>
      </c>
      <c r="Q27" s="25" t="s">
        <v>71</v>
      </c>
      <c r="R27" s="43" t="s">
        <v>177</v>
      </c>
      <c r="S27" s="43">
        <v>2099</v>
      </c>
      <c r="T27" s="43">
        <v>2039</v>
      </c>
      <c r="U27" s="46">
        <f>97.1</f>
        <v>97.1</v>
      </c>
    </row>
    <row r="28" spans="1:22" ht="14.25" customHeight="1" thickTop="1" thickBot="1" x14ac:dyDescent="0.25">
      <c r="B28" s="4" t="s">
        <v>80</v>
      </c>
      <c r="C28" s="5"/>
      <c r="D28" s="5"/>
      <c r="E28" s="5"/>
      <c r="F28" s="5"/>
      <c r="G28" s="5"/>
      <c r="H28" s="6"/>
      <c r="I28" s="6"/>
      <c r="J28" s="6"/>
      <c r="K28" s="6"/>
      <c r="L28" s="6"/>
      <c r="M28" s="6"/>
      <c r="N28" s="6"/>
      <c r="O28" s="6"/>
      <c r="P28" s="6"/>
      <c r="Q28" s="6"/>
      <c r="R28" s="6"/>
      <c r="S28" s="6"/>
      <c r="T28" s="6"/>
      <c r="U28" s="7"/>
      <c r="V28" s="26"/>
    </row>
    <row r="29" spans="1:22" ht="26.25" customHeight="1" thickTop="1" x14ac:dyDescent="0.2">
      <c r="B29" s="27"/>
      <c r="C29" s="28"/>
      <c r="D29" s="28"/>
      <c r="E29" s="28"/>
      <c r="F29" s="28"/>
      <c r="G29" s="28"/>
      <c r="H29" s="29"/>
      <c r="I29" s="29"/>
      <c r="J29" s="29"/>
      <c r="K29" s="29"/>
      <c r="L29" s="29"/>
      <c r="M29" s="29"/>
      <c r="N29" s="29"/>
      <c r="O29" s="29"/>
      <c r="P29" s="29"/>
      <c r="Q29" s="29"/>
      <c r="R29" s="30"/>
      <c r="S29" s="31" t="s">
        <v>33</v>
      </c>
      <c r="T29" s="31" t="s">
        <v>81</v>
      </c>
      <c r="U29" s="18" t="s">
        <v>82</v>
      </c>
    </row>
    <row r="30" spans="1:22" ht="26.25" customHeight="1" thickBot="1" x14ac:dyDescent="0.25">
      <c r="B30" s="32"/>
      <c r="C30" s="33"/>
      <c r="D30" s="33"/>
      <c r="E30" s="33"/>
      <c r="F30" s="33"/>
      <c r="G30" s="33"/>
      <c r="H30" s="34"/>
      <c r="I30" s="34"/>
      <c r="J30" s="34"/>
      <c r="K30" s="34"/>
      <c r="L30" s="34"/>
      <c r="M30" s="34"/>
      <c r="N30" s="34"/>
      <c r="O30" s="34"/>
      <c r="P30" s="34"/>
      <c r="Q30" s="34"/>
      <c r="R30" s="34"/>
      <c r="S30" s="35" t="s">
        <v>83</v>
      </c>
      <c r="T30" s="36" t="s">
        <v>83</v>
      </c>
      <c r="U30" s="36" t="s">
        <v>84</v>
      </c>
    </row>
    <row r="31" spans="1:22" ht="13.5" customHeight="1" thickBot="1" x14ac:dyDescent="0.25">
      <c r="B31" s="92" t="s">
        <v>85</v>
      </c>
      <c r="C31" s="93"/>
      <c r="D31" s="93"/>
      <c r="E31" s="37"/>
      <c r="F31" s="37"/>
      <c r="G31" s="37"/>
      <c r="H31" s="38"/>
      <c r="I31" s="38"/>
      <c r="J31" s="38"/>
      <c r="K31" s="38"/>
      <c r="L31" s="38"/>
      <c r="M31" s="38"/>
      <c r="N31" s="38"/>
      <c r="O31" s="38"/>
      <c r="P31" s="39"/>
      <c r="Q31" s="39"/>
      <c r="R31" s="39"/>
      <c r="S31" s="48">
        <v>2833.9900080000002</v>
      </c>
      <c r="T31" s="48">
        <v>2742.8618447700001</v>
      </c>
      <c r="U31" s="49">
        <f>+IF(ISERR(T31/S31*100),"N/A",ROUND(T31/S31*100,1))</f>
        <v>96.8</v>
      </c>
    </row>
    <row r="32" spans="1:22" ht="13.5" customHeight="1" thickBot="1" x14ac:dyDescent="0.25">
      <c r="B32" s="94" t="s">
        <v>86</v>
      </c>
      <c r="C32" s="95"/>
      <c r="D32" s="95"/>
      <c r="E32" s="40"/>
      <c r="F32" s="40"/>
      <c r="G32" s="40"/>
      <c r="H32" s="41"/>
      <c r="I32" s="41"/>
      <c r="J32" s="41"/>
      <c r="K32" s="41"/>
      <c r="L32" s="41"/>
      <c r="M32" s="41"/>
      <c r="N32" s="41"/>
      <c r="O32" s="41"/>
      <c r="P32" s="42"/>
      <c r="Q32" s="42"/>
      <c r="R32" s="42"/>
      <c r="S32" s="48">
        <v>2742.8618447700001</v>
      </c>
      <c r="T32" s="48">
        <v>2742.8618447700001</v>
      </c>
      <c r="U32" s="49">
        <f>+IF(ISERR(T32/S32*100),"N/A",ROUND(T32/S32*100,1))</f>
        <v>100</v>
      </c>
    </row>
    <row r="33" spans="2:21" ht="14.85" customHeight="1" thickTop="1" thickBot="1" x14ac:dyDescent="0.25">
      <c r="B33" s="4" t="s">
        <v>87</v>
      </c>
      <c r="C33" s="5"/>
      <c r="D33" s="5"/>
      <c r="E33" s="5"/>
      <c r="F33" s="5"/>
      <c r="G33" s="5"/>
      <c r="H33" s="6"/>
      <c r="I33" s="6"/>
      <c r="J33" s="6"/>
      <c r="K33" s="6"/>
      <c r="L33" s="6"/>
      <c r="M33" s="6"/>
      <c r="N33" s="6"/>
      <c r="O33" s="6"/>
      <c r="P33" s="6"/>
      <c r="Q33" s="6"/>
      <c r="R33" s="6"/>
      <c r="S33" s="6"/>
      <c r="T33" s="6"/>
      <c r="U33" s="7"/>
    </row>
    <row r="34" spans="2:21" ht="44.25" customHeight="1" thickTop="1" x14ac:dyDescent="0.2">
      <c r="B34" s="89" t="s">
        <v>88</v>
      </c>
      <c r="C34" s="90"/>
      <c r="D34" s="90"/>
      <c r="E34" s="90"/>
      <c r="F34" s="90"/>
      <c r="G34" s="90"/>
      <c r="H34" s="90"/>
      <c r="I34" s="90"/>
      <c r="J34" s="90"/>
      <c r="K34" s="90"/>
      <c r="L34" s="90"/>
      <c r="M34" s="90"/>
      <c r="N34" s="90"/>
      <c r="O34" s="90"/>
      <c r="P34" s="90"/>
      <c r="Q34" s="90"/>
      <c r="R34" s="90"/>
      <c r="S34" s="90"/>
      <c r="T34" s="90"/>
      <c r="U34" s="91"/>
    </row>
    <row r="35" spans="2:21" ht="180.75" customHeight="1" x14ac:dyDescent="0.2">
      <c r="B35" s="96" t="s">
        <v>385</v>
      </c>
      <c r="C35" s="97"/>
      <c r="D35" s="97"/>
      <c r="E35" s="97"/>
      <c r="F35" s="97"/>
      <c r="G35" s="97"/>
      <c r="H35" s="97"/>
      <c r="I35" s="97"/>
      <c r="J35" s="97"/>
      <c r="K35" s="97"/>
      <c r="L35" s="97"/>
      <c r="M35" s="97"/>
      <c r="N35" s="97"/>
      <c r="O35" s="97"/>
      <c r="P35" s="97"/>
      <c r="Q35" s="97"/>
      <c r="R35" s="97"/>
      <c r="S35" s="97"/>
      <c r="T35" s="97"/>
      <c r="U35" s="98"/>
    </row>
    <row r="36" spans="2:21" ht="185.25" customHeight="1" x14ac:dyDescent="0.2">
      <c r="B36" s="96" t="s">
        <v>386</v>
      </c>
      <c r="C36" s="97"/>
      <c r="D36" s="97"/>
      <c r="E36" s="97"/>
      <c r="F36" s="97"/>
      <c r="G36" s="97"/>
      <c r="H36" s="97"/>
      <c r="I36" s="97"/>
      <c r="J36" s="97"/>
      <c r="K36" s="97"/>
      <c r="L36" s="97"/>
      <c r="M36" s="97"/>
      <c r="N36" s="97"/>
      <c r="O36" s="97"/>
      <c r="P36" s="97"/>
      <c r="Q36" s="97"/>
      <c r="R36" s="97"/>
      <c r="S36" s="97"/>
      <c r="T36" s="97"/>
      <c r="U36" s="98"/>
    </row>
    <row r="37" spans="2:21" ht="228.75" customHeight="1" x14ac:dyDescent="0.2">
      <c r="B37" s="96" t="s">
        <v>387</v>
      </c>
      <c r="C37" s="97"/>
      <c r="D37" s="97"/>
      <c r="E37" s="97"/>
      <c r="F37" s="97"/>
      <c r="G37" s="97"/>
      <c r="H37" s="97"/>
      <c r="I37" s="97"/>
      <c r="J37" s="97"/>
      <c r="K37" s="97"/>
      <c r="L37" s="97"/>
      <c r="M37" s="97"/>
      <c r="N37" s="97"/>
      <c r="O37" s="97"/>
      <c r="P37" s="97"/>
      <c r="Q37" s="97"/>
      <c r="R37" s="97"/>
      <c r="S37" s="97"/>
      <c r="T37" s="97"/>
      <c r="U37" s="98"/>
    </row>
    <row r="38" spans="2:21" ht="185.25" customHeight="1" x14ac:dyDescent="0.2">
      <c r="B38" s="96" t="s">
        <v>388</v>
      </c>
      <c r="C38" s="97"/>
      <c r="D38" s="97"/>
      <c r="E38" s="97"/>
      <c r="F38" s="97"/>
      <c r="G38" s="97"/>
      <c r="H38" s="97"/>
      <c r="I38" s="97"/>
      <c r="J38" s="97"/>
      <c r="K38" s="97"/>
      <c r="L38" s="97"/>
      <c r="M38" s="97"/>
      <c r="N38" s="97"/>
      <c r="O38" s="97"/>
      <c r="P38" s="97"/>
      <c r="Q38" s="97"/>
      <c r="R38" s="97"/>
      <c r="S38" s="97"/>
      <c r="T38" s="97"/>
      <c r="U38" s="98"/>
    </row>
    <row r="39" spans="2:21" ht="80.45" customHeight="1" x14ac:dyDescent="0.2">
      <c r="B39" s="96" t="s">
        <v>389</v>
      </c>
      <c r="C39" s="97"/>
      <c r="D39" s="97"/>
      <c r="E39" s="97"/>
      <c r="F39" s="97"/>
      <c r="G39" s="97"/>
      <c r="H39" s="97"/>
      <c r="I39" s="97"/>
      <c r="J39" s="97"/>
      <c r="K39" s="97"/>
      <c r="L39" s="97"/>
      <c r="M39" s="97"/>
      <c r="N39" s="97"/>
      <c r="O39" s="97"/>
      <c r="P39" s="97"/>
      <c r="Q39" s="97"/>
      <c r="R39" s="97"/>
      <c r="S39" s="97"/>
      <c r="T39" s="97"/>
      <c r="U39" s="98"/>
    </row>
    <row r="40" spans="2:21" ht="150.94999999999999" customHeight="1" x14ac:dyDescent="0.2">
      <c r="B40" s="96" t="s">
        <v>390</v>
      </c>
      <c r="C40" s="97"/>
      <c r="D40" s="97"/>
      <c r="E40" s="97"/>
      <c r="F40" s="97"/>
      <c r="G40" s="97"/>
      <c r="H40" s="97"/>
      <c r="I40" s="97"/>
      <c r="J40" s="97"/>
      <c r="K40" s="97"/>
      <c r="L40" s="97"/>
      <c r="M40" s="97"/>
      <c r="N40" s="97"/>
      <c r="O40" s="97"/>
      <c r="P40" s="97"/>
      <c r="Q40" s="97"/>
      <c r="R40" s="97"/>
      <c r="S40" s="97"/>
      <c r="T40" s="97"/>
      <c r="U40" s="98"/>
    </row>
    <row r="41" spans="2:21" ht="75.599999999999994" customHeight="1" x14ac:dyDescent="0.2">
      <c r="B41" s="96" t="s">
        <v>391</v>
      </c>
      <c r="C41" s="97"/>
      <c r="D41" s="97"/>
      <c r="E41" s="97"/>
      <c r="F41" s="97"/>
      <c r="G41" s="97"/>
      <c r="H41" s="97"/>
      <c r="I41" s="97"/>
      <c r="J41" s="97"/>
      <c r="K41" s="97"/>
      <c r="L41" s="97"/>
      <c r="M41" s="97"/>
      <c r="N41" s="97"/>
      <c r="O41" s="97"/>
      <c r="P41" s="97"/>
      <c r="Q41" s="97"/>
      <c r="R41" s="97"/>
      <c r="S41" s="97"/>
      <c r="T41" s="97"/>
      <c r="U41" s="98"/>
    </row>
    <row r="42" spans="2:21" ht="81" customHeight="1" x14ac:dyDescent="0.2">
      <c r="B42" s="96" t="s">
        <v>392</v>
      </c>
      <c r="C42" s="97"/>
      <c r="D42" s="97"/>
      <c r="E42" s="97"/>
      <c r="F42" s="97"/>
      <c r="G42" s="97"/>
      <c r="H42" s="97"/>
      <c r="I42" s="97"/>
      <c r="J42" s="97"/>
      <c r="K42" s="97"/>
      <c r="L42" s="97"/>
      <c r="M42" s="97"/>
      <c r="N42" s="97"/>
      <c r="O42" s="97"/>
      <c r="P42" s="97"/>
      <c r="Q42" s="97"/>
      <c r="R42" s="97"/>
      <c r="S42" s="97"/>
      <c r="T42" s="97"/>
      <c r="U42" s="98"/>
    </row>
    <row r="43" spans="2:21" ht="90" customHeight="1" x14ac:dyDescent="0.2">
      <c r="B43" s="96" t="s">
        <v>393</v>
      </c>
      <c r="C43" s="97"/>
      <c r="D43" s="97"/>
      <c r="E43" s="97"/>
      <c r="F43" s="97"/>
      <c r="G43" s="97"/>
      <c r="H43" s="97"/>
      <c r="I43" s="97"/>
      <c r="J43" s="97"/>
      <c r="K43" s="97"/>
      <c r="L43" s="97"/>
      <c r="M43" s="97"/>
      <c r="N43" s="97"/>
      <c r="O43" s="97"/>
      <c r="P43" s="97"/>
      <c r="Q43" s="97"/>
      <c r="R43" s="97"/>
      <c r="S43" s="97"/>
      <c r="T43" s="97"/>
      <c r="U43" s="98"/>
    </row>
    <row r="44" spans="2:21" ht="249" customHeight="1" x14ac:dyDescent="0.2">
      <c r="B44" s="96" t="s">
        <v>394</v>
      </c>
      <c r="C44" s="97"/>
      <c r="D44" s="97"/>
      <c r="E44" s="97"/>
      <c r="F44" s="97"/>
      <c r="G44" s="97"/>
      <c r="H44" s="97"/>
      <c r="I44" s="97"/>
      <c r="J44" s="97"/>
      <c r="K44" s="97"/>
      <c r="L44" s="97"/>
      <c r="M44" s="97"/>
      <c r="N44" s="97"/>
      <c r="O44" s="97"/>
      <c r="P44" s="97"/>
      <c r="Q44" s="97"/>
      <c r="R44" s="97"/>
      <c r="S44" s="97"/>
      <c r="T44" s="97"/>
      <c r="U44" s="98"/>
    </row>
    <row r="45" spans="2:21" ht="105.2" customHeight="1" x14ac:dyDescent="0.2">
      <c r="B45" s="96" t="s">
        <v>395</v>
      </c>
      <c r="C45" s="97"/>
      <c r="D45" s="97"/>
      <c r="E45" s="97"/>
      <c r="F45" s="97"/>
      <c r="G45" s="97"/>
      <c r="H45" s="97"/>
      <c r="I45" s="97"/>
      <c r="J45" s="97"/>
      <c r="K45" s="97"/>
      <c r="L45" s="97"/>
      <c r="M45" s="97"/>
      <c r="N45" s="97"/>
      <c r="O45" s="97"/>
      <c r="P45" s="97"/>
      <c r="Q45" s="97"/>
      <c r="R45" s="97"/>
      <c r="S45" s="97"/>
      <c r="T45" s="97"/>
      <c r="U45" s="98"/>
    </row>
    <row r="46" spans="2:21" ht="90.75" customHeight="1" x14ac:dyDescent="0.2">
      <c r="B46" s="96" t="s">
        <v>396</v>
      </c>
      <c r="C46" s="97"/>
      <c r="D46" s="97"/>
      <c r="E46" s="97"/>
      <c r="F46" s="97"/>
      <c r="G46" s="97"/>
      <c r="H46" s="97"/>
      <c r="I46" s="97"/>
      <c r="J46" s="97"/>
      <c r="K46" s="97"/>
      <c r="L46" s="97"/>
      <c r="M46" s="97"/>
      <c r="N46" s="97"/>
      <c r="O46" s="97"/>
      <c r="P46" s="97"/>
      <c r="Q46" s="97"/>
      <c r="R46" s="97"/>
      <c r="S46" s="97"/>
      <c r="T46" s="97"/>
      <c r="U46" s="98"/>
    </row>
    <row r="47" spans="2:21" ht="114.75" customHeight="1" x14ac:dyDescent="0.2">
      <c r="B47" s="96" t="s">
        <v>397</v>
      </c>
      <c r="C47" s="97"/>
      <c r="D47" s="97"/>
      <c r="E47" s="97"/>
      <c r="F47" s="97"/>
      <c r="G47" s="97"/>
      <c r="H47" s="97"/>
      <c r="I47" s="97"/>
      <c r="J47" s="97"/>
      <c r="K47" s="97"/>
      <c r="L47" s="97"/>
      <c r="M47" s="97"/>
      <c r="N47" s="97"/>
      <c r="O47" s="97"/>
      <c r="P47" s="97"/>
      <c r="Q47" s="97"/>
      <c r="R47" s="97"/>
      <c r="S47" s="97"/>
      <c r="T47" s="97"/>
      <c r="U47" s="98"/>
    </row>
    <row r="48" spans="2:21" ht="168" customHeight="1" x14ac:dyDescent="0.2">
      <c r="B48" s="96" t="s">
        <v>398</v>
      </c>
      <c r="C48" s="97"/>
      <c r="D48" s="97"/>
      <c r="E48" s="97"/>
      <c r="F48" s="97"/>
      <c r="G48" s="97"/>
      <c r="H48" s="97"/>
      <c r="I48" s="97"/>
      <c r="J48" s="97"/>
      <c r="K48" s="97"/>
      <c r="L48" s="97"/>
      <c r="M48" s="97"/>
      <c r="N48" s="97"/>
      <c r="O48" s="97"/>
      <c r="P48" s="97"/>
      <c r="Q48" s="97"/>
      <c r="R48" s="97"/>
      <c r="S48" s="97"/>
      <c r="T48" s="97"/>
      <c r="U48" s="98"/>
    </row>
    <row r="49" spans="2:21" ht="145.5" customHeight="1" x14ac:dyDescent="0.2">
      <c r="B49" s="96" t="s">
        <v>399</v>
      </c>
      <c r="C49" s="97"/>
      <c r="D49" s="97"/>
      <c r="E49" s="97"/>
      <c r="F49" s="97"/>
      <c r="G49" s="97"/>
      <c r="H49" s="97"/>
      <c r="I49" s="97"/>
      <c r="J49" s="97"/>
      <c r="K49" s="97"/>
      <c r="L49" s="97"/>
      <c r="M49" s="97"/>
      <c r="N49" s="97"/>
      <c r="O49" s="97"/>
      <c r="P49" s="97"/>
      <c r="Q49" s="97"/>
      <c r="R49" s="97"/>
      <c r="S49" s="97"/>
      <c r="T49" s="97"/>
      <c r="U49" s="98"/>
    </row>
    <row r="50" spans="2:21" ht="76.5" customHeight="1" x14ac:dyDescent="0.2">
      <c r="B50" s="96" t="s">
        <v>400</v>
      </c>
      <c r="C50" s="97"/>
      <c r="D50" s="97"/>
      <c r="E50" s="97"/>
      <c r="F50" s="97"/>
      <c r="G50" s="97"/>
      <c r="H50" s="97"/>
      <c r="I50" s="97"/>
      <c r="J50" s="97"/>
      <c r="K50" s="97"/>
      <c r="L50" s="97"/>
      <c r="M50" s="97"/>
      <c r="N50" s="97"/>
      <c r="O50" s="97"/>
      <c r="P50" s="97"/>
      <c r="Q50" s="97"/>
      <c r="R50" s="97"/>
      <c r="S50" s="97"/>
      <c r="T50" s="97"/>
      <c r="U50" s="98"/>
    </row>
    <row r="51" spans="2:21" ht="120" customHeight="1" thickBot="1" x14ac:dyDescent="0.25">
      <c r="B51" s="99" t="s">
        <v>401</v>
      </c>
      <c r="C51" s="100"/>
      <c r="D51" s="100"/>
      <c r="E51" s="100"/>
      <c r="F51" s="100"/>
      <c r="G51" s="100"/>
      <c r="H51" s="100"/>
      <c r="I51" s="100"/>
      <c r="J51" s="100"/>
      <c r="K51" s="100"/>
      <c r="L51" s="100"/>
      <c r="M51" s="100"/>
      <c r="N51" s="100"/>
      <c r="O51" s="100"/>
      <c r="P51" s="100"/>
      <c r="Q51" s="100"/>
      <c r="R51" s="100"/>
      <c r="S51" s="100"/>
      <c r="T51" s="100"/>
      <c r="U51" s="101"/>
    </row>
  </sheetData>
  <mergeCells count="92">
    <mergeCell ref="B50:U50"/>
    <mergeCell ref="B51:U51"/>
    <mergeCell ref="B44:U44"/>
    <mergeCell ref="B45:U45"/>
    <mergeCell ref="B46:U46"/>
    <mergeCell ref="B47:U47"/>
    <mergeCell ref="B48:U48"/>
    <mergeCell ref="B49:U49"/>
    <mergeCell ref="B43:U43"/>
    <mergeCell ref="B31:D31"/>
    <mergeCell ref="B32:D32"/>
    <mergeCell ref="B34:U34"/>
    <mergeCell ref="B35:U35"/>
    <mergeCell ref="B36:U36"/>
    <mergeCell ref="B37:U37"/>
    <mergeCell ref="B38:U38"/>
    <mergeCell ref="B39:U39"/>
    <mergeCell ref="B40:U40"/>
    <mergeCell ref="B41:U41"/>
    <mergeCell ref="B42:U42"/>
    <mergeCell ref="C26:H26"/>
    <mergeCell ref="I26:K26"/>
    <mergeCell ref="L26:O26"/>
    <mergeCell ref="C27:H27"/>
    <mergeCell ref="I27:K27"/>
    <mergeCell ref="L27:O27"/>
    <mergeCell ref="C24:H24"/>
    <mergeCell ref="I24:K24"/>
    <mergeCell ref="L24:O24"/>
    <mergeCell ref="C25:H25"/>
    <mergeCell ref="I25:K25"/>
    <mergeCell ref="L25:O25"/>
    <mergeCell ref="C22:H22"/>
    <mergeCell ref="I22:K22"/>
    <mergeCell ref="L22:O22"/>
    <mergeCell ref="C23:H23"/>
    <mergeCell ref="I23:K23"/>
    <mergeCell ref="L23:O23"/>
    <mergeCell ref="C20:H20"/>
    <mergeCell ref="I20:K20"/>
    <mergeCell ref="L20:O20"/>
    <mergeCell ref="C21:H21"/>
    <mergeCell ref="I21:K21"/>
    <mergeCell ref="L21:O21"/>
    <mergeCell ref="C18:H18"/>
    <mergeCell ref="I18:K18"/>
    <mergeCell ref="L18:O18"/>
    <mergeCell ref="C19:H19"/>
    <mergeCell ref="I19:K19"/>
    <mergeCell ref="L19:O19"/>
    <mergeCell ref="C16:H16"/>
    <mergeCell ref="I16:K16"/>
    <mergeCell ref="L16:O16"/>
    <mergeCell ref="C17:H17"/>
    <mergeCell ref="I17:K17"/>
    <mergeCell ref="L17:O17"/>
    <mergeCell ref="C14:H14"/>
    <mergeCell ref="I14:K14"/>
    <mergeCell ref="L14:O14"/>
    <mergeCell ref="C15:H15"/>
    <mergeCell ref="I15:K15"/>
    <mergeCell ref="L15:O15"/>
    <mergeCell ref="C12:H12"/>
    <mergeCell ref="I12:K12"/>
    <mergeCell ref="L12:O12"/>
    <mergeCell ref="C13:H13"/>
    <mergeCell ref="I13:K13"/>
    <mergeCell ref="L13:O13"/>
    <mergeCell ref="C11:H11"/>
    <mergeCell ref="I11:K11"/>
    <mergeCell ref="L11:O11"/>
    <mergeCell ref="C6:G6"/>
    <mergeCell ref="K6:M6"/>
    <mergeCell ref="P6:Q6"/>
    <mergeCell ref="T6:U6"/>
    <mergeCell ref="B8:B10"/>
    <mergeCell ref="C8:H10"/>
    <mergeCell ref="I8:S8"/>
    <mergeCell ref="T8:U8"/>
    <mergeCell ref="I9:K10"/>
    <mergeCell ref="L9:O10"/>
    <mergeCell ref="P9:P10"/>
    <mergeCell ref="Q9:Q10"/>
    <mergeCell ref="R9:S9"/>
    <mergeCell ref="T9:T10"/>
    <mergeCell ref="U9:U10"/>
    <mergeCell ref="B5:U5"/>
    <mergeCell ref="B1:L1"/>
    <mergeCell ref="D4:H4"/>
    <mergeCell ref="L4:O4"/>
    <mergeCell ref="Q4:R4"/>
    <mergeCell ref="T4:U4"/>
  </mergeCells>
  <printOptions horizontalCentered="1"/>
  <pageMargins left="0.78740157480314965" right="0.78740157480314965" top="0.98425196850393704" bottom="0.98425196850393704" header="0" footer="0.39370078740157483"/>
  <pageSetup scale="60" fitToHeight="10" orientation="landscape" r:id="rId1"/>
  <headerFooter>
    <oddFooter>&amp;R&amp;P de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45"/>
  <sheetViews>
    <sheetView view="pageBreakPreview" topLeftCell="A13" zoomScale="80" zoomScaleNormal="80" zoomScaleSheetLayoutView="80" workbookViewId="0">
      <selection activeCell="T12" sqref="T12:U12"/>
    </sheetView>
  </sheetViews>
  <sheetFormatPr baseColWidth="10" defaultColWidth="10" defaultRowHeight="12.75" x14ac:dyDescent="0.2"/>
  <cols>
    <col min="1" max="1" width="3.5" style="1" customWidth="1"/>
    <col min="2" max="2" width="14.7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9.625" style="1" customWidth="1"/>
    <col min="19" max="19" width="13" style="1" customWidth="1"/>
    <col min="20" max="20" width="10.75" style="1" customWidth="1"/>
    <col min="21" max="21" width="11.37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50" t="s">
        <v>0</v>
      </c>
      <c r="C1" s="50"/>
      <c r="D1" s="50"/>
      <c r="E1" s="50"/>
      <c r="F1" s="50"/>
      <c r="G1" s="50"/>
      <c r="H1" s="50"/>
      <c r="I1" s="50"/>
      <c r="J1" s="50"/>
      <c r="K1" s="50"/>
      <c r="L1" s="50"/>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51.75" customHeight="1" thickTop="1" x14ac:dyDescent="0.2">
      <c r="B4" s="8" t="s">
        <v>6</v>
      </c>
      <c r="C4" s="9" t="s">
        <v>402</v>
      </c>
      <c r="D4" s="57" t="s">
        <v>403</v>
      </c>
      <c r="E4" s="57"/>
      <c r="F4" s="57"/>
      <c r="G4" s="57"/>
      <c r="H4" s="57"/>
      <c r="I4" s="10"/>
      <c r="J4" s="11" t="s">
        <v>9</v>
      </c>
      <c r="K4" s="12" t="s">
        <v>10</v>
      </c>
      <c r="L4" s="58" t="s">
        <v>11</v>
      </c>
      <c r="M4" s="58"/>
      <c r="N4" s="58"/>
      <c r="O4" s="58"/>
      <c r="P4" s="11" t="s">
        <v>12</v>
      </c>
      <c r="Q4" s="58" t="s">
        <v>323</v>
      </c>
      <c r="R4" s="58"/>
      <c r="S4" s="11" t="s">
        <v>14</v>
      </c>
      <c r="T4" s="58"/>
      <c r="U4" s="59"/>
    </row>
    <row r="5" spans="1:21" ht="15.75" customHeight="1" x14ac:dyDescent="0.2">
      <c r="B5" s="54" t="s">
        <v>15</v>
      </c>
      <c r="C5" s="55"/>
      <c r="D5" s="55"/>
      <c r="E5" s="55"/>
      <c r="F5" s="55"/>
      <c r="G5" s="55"/>
      <c r="H5" s="55"/>
      <c r="I5" s="55"/>
      <c r="J5" s="55"/>
      <c r="K5" s="55"/>
      <c r="L5" s="55"/>
      <c r="M5" s="55"/>
      <c r="N5" s="55"/>
      <c r="O5" s="55"/>
      <c r="P5" s="55"/>
      <c r="Q5" s="55"/>
      <c r="R5" s="55"/>
      <c r="S5" s="55"/>
      <c r="T5" s="55"/>
      <c r="U5" s="56"/>
    </row>
    <row r="6" spans="1:21" ht="37.5" customHeight="1" thickBot="1" x14ac:dyDescent="0.25">
      <c r="B6" s="13" t="s">
        <v>16</v>
      </c>
      <c r="C6" s="60" t="s">
        <v>17</v>
      </c>
      <c r="D6" s="60"/>
      <c r="E6" s="60"/>
      <c r="F6" s="60"/>
      <c r="G6" s="60"/>
      <c r="H6" s="14"/>
      <c r="I6" s="14"/>
      <c r="J6" s="14" t="s">
        <v>18</v>
      </c>
      <c r="K6" s="60" t="s">
        <v>19</v>
      </c>
      <c r="L6" s="60"/>
      <c r="M6" s="60"/>
      <c r="N6" s="15"/>
      <c r="O6" s="16" t="s">
        <v>20</v>
      </c>
      <c r="P6" s="60" t="s">
        <v>324</v>
      </c>
      <c r="Q6" s="60"/>
      <c r="R6" s="17"/>
      <c r="S6" s="16" t="s">
        <v>22</v>
      </c>
      <c r="T6" s="60" t="s">
        <v>325</v>
      </c>
      <c r="U6" s="61"/>
    </row>
    <row r="7" spans="1:21" ht="14.25" customHeight="1" thickTop="1" thickBot="1" x14ac:dyDescent="0.25">
      <c r="B7" s="4" t="s">
        <v>24</v>
      </c>
      <c r="C7" s="5"/>
      <c r="D7" s="5"/>
      <c r="E7" s="5"/>
      <c r="F7" s="5"/>
      <c r="G7" s="5"/>
      <c r="H7" s="6"/>
      <c r="I7" s="6"/>
      <c r="J7" s="6"/>
      <c r="K7" s="6"/>
      <c r="L7" s="6"/>
      <c r="M7" s="6"/>
      <c r="N7" s="6"/>
      <c r="O7" s="6"/>
      <c r="P7" s="6"/>
      <c r="Q7" s="6"/>
      <c r="R7" s="6"/>
      <c r="S7" s="6"/>
      <c r="T7" s="6"/>
      <c r="U7" s="7"/>
    </row>
    <row r="8" spans="1:21" ht="16.5" customHeight="1" thickTop="1" x14ac:dyDescent="0.2">
      <c r="B8" s="62" t="s">
        <v>25</v>
      </c>
      <c r="C8" s="65" t="s">
        <v>26</v>
      </c>
      <c r="D8" s="66"/>
      <c r="E8" s="66"/>
      <c r="F8" s="66"/>
      <c r="G8" s="66"/>
      <c r="H8" s="67"/>
      <c r="I8" s="74" t="s">
        <v>27</v>
      </c>
      <c r="J8" s="75"/>
      <c r="K8" s="75"/>
      <c r="L8" s="75"/>
      <c r="M8" s="75"/>
      <c r="N8" s="75"/>
      <c r="O8" s="75"/>
      <c r="P8" s="75"/>
      <c r="Q8" s="75"/>
      <c r="R8" s="75"/>
      <c r="S8" s="76"/>
      <c r="T8" s="77" t="s">
        <v>28</v>
      </c>
      <c r="U8" s="78"/>
    </row>
    <row r="9" spans="1:21" ht="19.5" customHeight="1" x14ac:dyDescent="0.2">
      <c r="B9" s="63"/>
      <c r="C9" s="68"/>
      <c r="D9" s="69"/>
      <c r="E9" s="69"/>
      <c r="F9" s="69"/>
      <c r="G9" s="69"/>
      <c r="H9" s="70"/>
      <c r="I9" s="79" t="s">
        <v>29</v>
      </c>
      <c r="J9" s="80"/>
      <c r="K9" s="80"/>
      <c r="L9" s="80" t="s">
        <v>30</v>
      </c>
      <c r="M9" s="80"/>
      <c r="N9" s="80"/>
      <c r="O9" s="80"/>
      <c r="P9" s="80" t="s">
        <v>31</v>
      </c>
      <c r="Q9" s="80" t="s">
        <v>32</v>
      </c>
      <c r="R9" s="83" t="s">
        <v>33</v>
      </c>
      <c r="S9" s="84"/>
      <c r="T9" s="80" t="s">
        <v>34</v>
      </c>
      <c r="U9" s="85" t="s">
        <v>35</v>
      </c>
    </row>
    <row r="10" spans="1:21" ht="26.25" customHeight="1" thickBot="1" x14ac:dyDescent="0.25">
      <c r="B10" s="64"/>
      <c r="C10" s="71"/>
      <c r="D10" s="72"/>
      <c r="E10" s="72"/>
      <c r="F10" s="72"/>
      <c r="G10" s="72"/>
      <c r="H10" s="73"/>
      <c r="I10" s="81"/>
      <c r="J10" s="82"/>
      <c r="K10" s="82"/>
      <c r="L10" s="82"/>
      <c r="M10" s="82"/>
      <c r="N10" s="82"/>
      <c r="O10" s="82"/>
      <c r="P10" s="82"/>
      <c r="Q10" s="82"/>
      <c r="R10" s="19" t="s">
        <v>36</v>
      </c>
      <c r="S10" s="20" t="s">
        <v>37</v>
      </c>
      <c r="T10" s="82"/>
      <c r="U10" s="86"/>
    </row>
    <row r="11" spans="1:21" ht="213.75" customHeight="1" thickTop="1" thickBot="1" x14ac:dyDescent="0.25">
      <c r="A11" s="21"/>
      <c r="B11" s="22" t="s">
        <v>38</v>
      </c>
      <c r="C11" s="87" t="s">
        <v>404</v>
      </c>
      <c r="D11" s="87"/>
      <c r="E11" s="87"/>
      <c r="F11" s="87"/>
      <c r="G11" s="87"/>
      <c r="H11" s="87"/>
      <c r="I11" s="87" t="s">
        <v>405</v>
      </c>
      <c r="J11" s="87"/>
      <c r="K11" s="87"/>
      <c r="L11" s="87" t="s">
        <v>406</v>
      </c>
      <c r="M11" s="87"/>
      <c r="N11" s="87"/>
      <c r="O11" s="87"/>
      <c r="P11" s="23" t="s">
        <v>48</v>
      </c>
      <c r="Q11" s="23" t="s">
        <v>43</v>
      </c>
      <c r="R11" s="23">
        <v>67.25</v>
      </c>
      <c r="S11" s="23">
        <v>67.25</v>
      </c>
      <c r="T11" s="23">
        <v>126.3</v>
      </c>
      <c r="U11" s="45">
        <f>187.8</f>
        <v>187.8</v>
      </c>
    </row>
    <row r="12" spans="1:21" ht="75" customHeight="1" thickTop="1" thickBot="1" x14ac:dyDescent="0.25">
      <c r="A12" s="21"/>
      <c r="B12" s="22" t="s">
        <v>44</v>
      </c>
      <c r="C12" s="87" t="s">
        <v>407</v>
      </c>
      <c r="D12" s="87"/>
      <c r="E12" s="87"/>
      <c r="F12" s="87"/>
      <c r="G12" s="87"/>
      <c r="H12" s="87"/>
      <c r="I12" s="87" t="s">
        <v>408</v>
      </c>
      <c r="J12" s="87"/>
      <c r="K12" s="87"/>
      <c r="L12" s="87" t="s">
        <v>409</v>
      </c>
      <c r="M12" s="87"/>
      <c r="N12" s="87"/>
      <c r="O12" s="87"/>
      <c r="P12" s="23" t="s">
        <v>48</v>
      </c>
      <c r="Q12" s="23" t="s">
        <v>43</v>
      </c>
      <c r="R12" s="23">
        <v>1.78</v>
      </c>
      <c r="S12" s="23">
        <v>1.78</v>
      </c>
      <c r="T12" s="104">
        <v>0.87</v>
      </c>
      <c r="U12" s="105">
        <v>151.12</v>
      </c>
    </row>
    <row r="13" spans="1:21" ht="75" customHeight="1" thickTop="1" x14ac:dyDescent="0.2">
      <c r="A13" s="21"/>
      <c r="B13" s="22" t="s">
        <v>50</v>
      </c>
      <c r="C13" s="87" t="s">
        <v>410</v>
      </c>
      <c r="D13" s="87"/>
      <c r="E13" s="87"/>
      <c r="F13" s="87"/>
      <c r="G13" s="87"/>
      <c r="H13" s="87"/>
      <c r="I13" s="87" t="s">
        <v>411</v>
      </c>
      <c r="J13" s="87"/>
      <c r="K13" s="87"/>
      <c r="L13" s="87" t="s">
        <v>412</v>
      </c>
      <c r="M13" s="87"/>
      <c r="N13" s="87"/>
      <c r="O13" s="87"/>
      <c r="P13" s="23" t="s">
        <v>413</v>
      </c>
      <c r="Q13" s="23" t="s">
        <v>71</v>
      </c>
      <c r="R13" s="44">
        <v>76868</v>
      </c>
      <c r="S13" s="44">
        <v>76868</v>
      </c>
      <c r="T13" s="44">
        <v>83356</v>
      </c>
      <c r="U13" s="45">
        <f>108.4</f>
        <v>108.4</v>
      </c>
    </row>
    <row r="14" spans="1:21" ht="128.25" customHeight="1" x14ac:dyDescent="0.2">
      <c r="A14" s="21"/>
      <c r="B14" s="24" t="s">
        <v>55</v>
      </c>
      <c r="C14" s="88" t="s">
        <v>414</v>
      </c>
      <c r="D14" s="88"/>
      <c r="E14" s="88"/>
      <c r="F14" s="88"/>
      <c r="G14" s="88"/>
      <c r="H14" s="88"/>
      <c r="I14" s="88" t="s">
        <v>415</v>
      </c>
      <c r="J14" s="88"/>
      <c r="K14" s="88"/>
      <c r="L14" s="88" t="s">
        <v>416</v>
      </c>
      <c r="M14" s="88"/>
      <c r="N14" s="88"/>
      <c r="O14" s="88"/>
      <c r="P14" s="25" t="s">
        <v>417</v>
      </c>
      <c r="Q14" s="25" t="s">
        <v>71</v>
      </c>
      <c r="R14" s="43">
        <v>773785</v>
      </c>
      <c r="S14" s="43">
        <v>773785</v>
      </c>
      <c r="T14" s="43">
        <v>775936</v>
      </c>
      <c r="U14" s="46">
        <f>100.3</f>
        <v>100.3</v>
      </c>
    </row>
    <row r="15" spans="1:21" ht="75" customHeight="1" thickBot="1" x14ac:dyDescent="0.25">
      <c r="A15" s="21"/>
      <c r="B15" s="24" t="s">
        <v>55</v>
      </c>
      <c r="C15" s="88" t="s">
        <v>418</v>
      </c>
      <c r="D15" s="88"/>
      <c r="E15" s="88"/>
      <c r="F15" s="88"/>
      <c r="G15" s="88"/>
      <c r="H15" s="88"/>
      <c r="I15" s="88" t="s">
        <v>419</v>
      </c>
      <c r="J15" s="88"/>
      <c r="K15" s="88"/>
      <c r="L15" s="88" t="s">
        <v>420</v>
      </c>
      <c r="M15" s="88"/>
      <c r="N15" s="88"/>
      <c r="O15" s="88"/>
      <c r="P15" s="25" t="s">
        <v>360</v>
      </c>
      <c r="Q15" s="25" t="s">
        <v>71</v>
      </c>
      <c r="R15" s="43">
        <v>34278</v>
      </c>
      <c r="S15" s="43">
        <v>34278</v>
      </c>
      <c r="T15" s="43">
        <v>34191</v>
      </c>
      <c r="U15" s="46">
        <f>99.7</f>
        <v>99.7</v>
      </c>
    </row>
    <row r="16" spans="1:21" ht="50.25" customHeight="1" thickTop="1" x14ac:dyDescent="0.2">
      <c r="A16" s="21"/>
      <c r="B16" s="22" t="s">
        <v>61</v>
      </c>
      <c r="C16" s="87" t="s">
        <v>350</v>
      </c>
      <c r="D16" s="87"/>
      <c r="E16" s="87"/>
      <c r="F16" s="87"/>
      <c r="G16" s="87"/>
      <c r="H16" s="87"/>
      <c r="I16" s="87" t="s">
        <v>351</v>
      </c>
      <c r="J16" s="87"/>
      <c r="K16" s="87"/>
      <c r="L16" s="87" t="s">
        <v>421</v>
      </c>
      <c r="M16" s="87"/>
      <c r="N16" s="87"/>
      <c r="O16" s="87"/>
      <c r="P16" s="23" t="s">
        <v>353</v>
      </c>
      <c r="Q16" s="23" t="s">
        <v>71</v>
      </c>
      <c r="R16" s="44">
        <v>2115</v>
      </c>
      <c r="S16" s="44">
        <v>2115</v>
      </c>
      <c r="T16" s="44">
        <v>1811</v>
      </c>
      <c r="U16" s="45">
        <f>85.6</f>
        <v>85.6</v>
      </c>
    </row>
    <row r="17" spans="1:22" ht="60" customHeight="1" x14ac:dyDescent="0.2">
      <c r="A17" s="21"/>
      <c r="B17" s="24" t="s">
        <v>55</v>
      </c>
      <c r="C17" s="88" t="s">
        <v>422</v>
      </c>
      <c r="D17" s="88"/>
      <c r="E17" s="88"/>
      <c r="F17" s="88"/>
      <c r="G17" s="88"/>
      <c r="H17" s="88"/>
      <c r="I17" s="88" t="s">
        <v>423</v>
      </c>
      <c r="J17" s="88"/>
      <c r="K17" s="88"/>
      <c r="L17" s="88" t="s">
        <v>424</v>
      </c>
      <c r="M17" s="88"/>
      <c r="N17" s="88"/>
      <c r="O17" s="88"/>
      <c r="P17" s="25" t="s">
        <v>337</v>
      </c>
      <c r="Q17" s="25" t="s">
        <v>167</v>
      </c>
      <c r="R17" s="43">
        <v>28366</v>
      </c>
      <c r="S17" s="43">
        <v>28366</v>
      </c>
      <c r="T17" s="43">
        <v>28313</v>
      </c>
      <c r="U17" s="46">
        <f>99.8</f>
        <v>99.8</v>
      </c>
    </row>
    <row r="18" spans="1:22" ht="60" customHeight="1" x14ac:dyDescent="0.2">
      <c r="A18" s="21"/>
      <c r="B18" s="24" t="s">
        <v>55</v>
      </c>
      <c r="C18" s="88" t="s">
        <v>425</v>
      </c>
      <c r="D18" s="88"/>
      <c r="E18" s="88"/>
      <c r="F18" s="88"/>
      <c r="G18" s="88"/>
      <c r="H18" s="88"/>
      <c r="I18" s="88" t="s">
        <v>362</v>
      </c>
      <c r="J18" s="88"/>
      <c r="K18" s="88"/>
      <c r="L18" s="88" t="s">
        <v>426</v>
      </c>
      <c r="M18" s="88"/>
      <c r="N18" s="88"/>
      <c r="O18" s="88"/>
      <c r="P18" s="25" t="s">
        <v>59</v>
      </c>
      <c r="Q18" s="25" t="s">
        <v>71</v>
      </c>
      <c r="R18" s="43">
        <v>5920862</v>
      </c>
      <c r="S18" s="43">
        <v>5920862</v>
      </c>
      <c r="T18" s="43">
        <v>6012136</v>
      </c>
      <c r="U18" s="46">
        <f>101.5</f>
        <v>101.5</v>
      </c>
    </row>
    <row r="19" spans="1:22" ht="144" customHeight="1" x14ac:dyDescent="0.2">
      <c r="A19" s="21"/>
      <c r="B19" s="24" t="s">
        <v>55</v>
      </c>
      <c r="C19" s="88" t="s">
        <v>427</v>
      </c>
      <c r="D19" s="88"/>
      <c r="E19" s="88"/>
      <c r="F19" s="88"/>
      <c r="G19" s="88"/>
      <c r="H19" s="88"/>
      <c r="I19" s="88" t="s">
        <v>428</v>
      </c>
      <c r="J19" s="88"/>
      <c r="K19" s="88"/>
      <c r="L19" s="88" t="s">
        <v>429</v>
      </c>
      <c r="M19" s="88"/>
      <c r="N19" s="88"/>
      <c r="O19" s="88"/>
      <c r="P19" s="25" t="s">
        <v>430</v>
      </c>
      <c r="Q19" s="25" t="s">
        <v>71</v>
      </c>
      <c r="R19" s="43">
        <v>1338</v>
      </c>
      <c r="S19" s="43">
        <v>1338</v>
      </c>
      <c r="T19" s="43">
        <v>1404</v>
      </c>
      <c r="U19" s="46">
        <f>104.9</f>
        <v>104.9</v>
      </c>
    </row>
    <row r="20" spans="1:22" ht="102" customHeight="1" x14ac:dyDescent="0.2">
      <c r="A20" s="21"/>
      <c r="B20" s="24" t="s">
        <v>55</v>
      </c>
      <c r="C20" s="88" t="s">
        <v>431</v>
      </c>
      <c r="D20" s="88"/>
      <c r="E20" s="88"/>
      <c r="F20" s="88"/>
      <c r="G20" s="88"/>
      <c r="H20" s="88"/>
      <c r="I20" s="88" t="s">
        <v>432</v>
      </c>
      <c r="J20" s="88"/>
      <c r="K20" s="88"/>
      <c r="L20" s="88" t="s">
        <v>433</v>
      </c>
      <c r="M20" s="88"/>
      <c r="N20" s="88"/>
      <c r="O20" s="88"/>
      <c r="P20" s="25" t="s">
        <v>341</v>
      </c>
      <c r="Q20" s="25" t="s">
        <v>71</v>
      </c>
      <c r="R20" s="43">
        <v>46611</v>
      </c>
      <c r="S20" s="43">
        <v>46611</v>
      </c>
      <c r="T20" s="43">
        <v>47409</v>
      </c>
      <c r="U20" s="46">
        <f>101.7</f>
        <v>101.7</v>
      </c>
    </row>
    <row r="21" spans="1:22" ht="54" customHeight="1" x14ac:dyDescent="0.2">
      <c r="A21" s="21"/>
      <c r="B21" s="24" t="s">
        <v>55</v>
      </c>
      <c r="C21" s="88" t="s">
        <v>434</v>
      </c>
      <c r="D21" s="88"/>
      <c r="E21" s="88"/>
      <c r="F21" s="88"/>
      <c r="G21" s="88"/>
      <c r="H21" s="88"/>
      <c r="I21" s="88" t="s">
        <v>435</v>
      </c>
      <c r="J21" s="88"/>
      <c r="K21" s="88"/>
      <c r="L21" s="88" t="s">
        <v>436</v>
      </c>
      <c r="M21" s="88"/>
      <c r="N21" s="88"/>
      <c r="O21" s="88"/>
      <c r="P21" s="25" t="s">
        <v>437</v>
      </c>
      <c r="Q21" s="25" t="s">
        <v>71</v>
      </c>
      <c r="R21" s="43">
        <v>735</v>
      </c>
      <c r="S21" s="43">
        <v>735</v>
      </c>
      <c r="T21" s="43">
        <v>858</v>
      </c>
      <c r="U21" s="46">
        <f>116.7</f>
        <v>116.7</v>
      </c>
    </row>
    <row r="22" spans="1:22" ht="75" customHeight="1" x14ac:dyDescent="0.2">
      <c r="A22" s="21"/>
      <c r="B22" s="24" t="s">
        <v>55</v>
      </c>
      <c r="C22" s="88" t="s">
        <v>438</v>
      </c>
      <c r="D22" s="88"/>
      <c r="E22" s="88"/>
      <c r="F22" s="88"/>
      <c r="G22" s="88"/>
      <c r="H22" s="88"/>
      <c r="I22" s="88" t="s">
        <v>439</v>
      </c>
      <c r="J22" s="88"/>
      <c r="K22" s="88"/>
      <c r="L22" s="88" t="s">
        <v>440</v>
      </c>
      <c r="M22" s="88"/>
      <c r="N22" s="88"/>
      <c r="O22" s="88"/>
      <c r="P22" s="25" t="s">
        <v>360</v>
      </c>
      <c r="Q22" s="25" t="s">
        <v>71</v>
      </c>
      <c r="R22" s="25">
        <v>100</v>
      </c>
      <c r="S22" s="25">
        <v>100</v>
      </c>
      <c r="T22" s="25">
        <v>99.9</v>
      </c>
      <c r="U22" s="46">
        <f>99.9</f>
        <v>99.9</v>
      </c>
    </row>
    <row r="23" spans="1:22" ht="107.25" customHeight="1" x14ac:dyDescent="0.2">
      <c r="A23" s="21"/>
      <c r="B23" s="24" t="s">
        <v>55</v>
      </c>
      <c r="C23" s="88" t="s">
        <v>441</v>
      </c>
      <c r="D23" s="88"/>
      <c r="E23" s="88"/>
      <c r="F23" s="88"/>
      <c r="G23" s="88"/>
      <c r="H23" s="88"/>
      <c r="I23" s="88" t="s">
        <v>442</v>
      </c>
      <c r="J23" s="88"/>
      <c r="K23" s="88"/>
      <c r="L23" s="88" t="s">
        <v>443</v>
      </c>
      <c r="M23" s="88"/>
      <c r="N23" s="88"/>
      <c r="O23" s="88"/>
      <c r="P23" s="25" t="s">
        <v>345</v>
      </c>
      <c r="Q23" s="25" t="s">
        <v>167</v>
      </c>
      <c r="R23" s="25">
        <v>100</v>
      </c>
      <c r="S23" s="25">
        <v>100</v>
      </c>
      <c r="T23" s="25">
        <v>77.099999999999994</v>
      </c>
      <c r="U23" s="46">
        <f>77.1</f>
        <v>77.099999999999994</v>
      </c>
    </row>
    <row r="24" spans="1:22" ht="75" customHeight="1" thickBot="1" x14ac:dyDescent="0.25">
      <c r="A24" s="21"/>
      <c r="B24" s="24" t="s">
        <v>55</v>
      </c>
      <c r="C24" s="88" t="s">
        <v>444</v>
      </c>
      <c r="D24" s="88"/>
      <c r="E24" s="88"/>
      <c r="F24" s="88"/>
      <c r="G24" s="88"/>
      <c r="H24" s="88"/>
      <c r="I24" s="88" t="s">
        <v>445</v>
      </c>
      <c r="J24" s="88"/>
      <c r="K24" s="88"/>
      <c r="L24" s="88" t="s">
        <v>446</v>
      </c>
      <c r="M24" s="88"/>
      <c r="N24" s="88"/>
      <c r="O24" s="88"/>
      <c r="P24" s="25" t="s">
        <v>447</v>
      </c>
      <c r="Q24" s="25" t="s">
        <v>71</v>
      </c>
      <c r="R24" s="43">
        <v>2099</v>
      </c>
      <c r="S24" s="43">
        <v>2099</v>
      </c>
      <c r="T24" s="43">
        <v>2039</v>
      </c>
      <c r="U24" s="46">
        <f>97.14</f>
        <v>97.14</v>
      </c>
    </row>
    <row r="25" spans="1:22" ht="14.25" customHeight="1" thickTop="1" thickBot="1" x14ac:dyDescent="0.25">
      <c r="B25" s="4" t="s">
        <v>80</v>
      </c>
      <c r="C25" s="5"/>
      <c r="D25" s="5"/>
      <c r="E25" s="5"/>
      <c r="F25" s="5"/>
      <c r="G25" s="5"/>
      <c r="H25" s="6"/>
      <c r="I25" s="6"/>
      <c r="J25" s="6"/>
      <c r="K25" s="6"/>
      <c r="L25" s="6"/>
      <c r="M25" s="6"/>
      <c r="N25" s="6"/>
      <c r="O25" s="6"/>
      <c r="P25" s="6"/>
      <c r="Q25" s="6"/>
      <c r="R25" s="6"/>
      <c r="S25" s="6"/>
      <c r="T25" s="6"/>
      <c r="U25" s="7"/>
      <c r="V25" s="26"/>
    </row>
    <row r="26" spans="1:22" ht="26.25" customHeight="1" thickTop="1" x14ac:dyDescent="0.2">
      <c r="B26" s="27"/>
      <c r="C26" s="28"/>
      <c r="D26" s="28"/>
      <c r="E26" s="28"/>
      <c r="F26" s="28"/>
      <c r="G26" s="28"/>
      <c r="H26" s="29"/>
      <c r="I26" s="29"/>
      <c r="J26" s="29"/>
      <c r="K26" s="29"/>
      <c r="L26" s="29"/>
      <c r="M26" s="29"/>
      <c r="N26" s="29"/>
      <c r="O26" s="29"/>
      <c r="P26" s="29"/>
      <c r="Q26" s="29"/>
      <c r="R26" s="30"/>
      <c r="S26" s="31" t="s">
        <v>33</v>
      </c>
      <c r="T26" s="31" t="s">
        <v>81</v>
      </c>
      <c r="U26" s="18" t="s">
        <v>82</v>
      </c>
    </row>
    <row r="27" spans="1:22" ht="26.25" customHeight="1" thickBot="1" x14ac:dyDescent="0.25">
      <c r="B27" s="32"/>
      <c r="C27" s="33"/>
      <c r="D27" s="33"/>
      <c r="E27" s="33"/>
      <c r="F27" s="33"/>
      <c r="G27" s="33"/>
      <c r="H27" s="34"/>
      <c r="I27" s="34"/>
      <c r="J27" s="34"/>
      <c r="K27" s="34"/>
      <c r="L27" s="34"/>
      <c r="M27" s="34"/>
      <c r="N27" s="34"/>
      <c r="O27" s="34"/>
      <c r="P27" s="34"/>
      <c r="Q27" s="34"/>
      <c r="R27" s="34"/>
      <c r="S27" s="35" t="s">
        <v>83</v>
      </c>
      <c r="T27" s="36" t="s">
        <v>83</v>
      </c>
      <c r="U27" s="36" t="s">
        <v>84</v>
      </c>
    </row>
    <row r="28" spans="1:22" ht="13.5" customHeight="1" thickBot="1" x14ac:dyDescent="0.25">
      <c r="B28" s="92" t="s">
        <v>85</v>
      </c>
      <c r="C28" s="93"/>
      <c r="D28" s="93"/>
      <c r="E28" s="37"/>
      <c r="F28" s="37"/>
      <c r="G28" s="37"/>
      <c r="H28" s="38"/>
      <c r="I28" s="38"/>
      <c r="J28" s="38"/>
      <c r="K28" s="38"/>
      <c r="L28" s="38"/>
      <c r="M28" s="38"/>
      <c r="N28" s="38"/>
      <c r="O28" s="38"/>
      <c r="P28" s="39"/>
      <c r="Q28" s="39"/>
      <c r="R28" s="39"/>
      <c r="S28" s="48">
        <v>1848.467791</v>
      </c>
      <c r="T28" s="48">
        <v>1847.6513457399999</v>
      </c>
      <c r="U28" s="49">
        <f>+IF(ISERR(T28/S28*100),"N/A",ROUND(T28/S28*100,1))</f>
        <v>100</v>
      </c>
    </row>
    <row r="29" spans="1:22" ht="13.5" customHeight="1" thickBot="1" x14ac:dyDescent="0.25">
      <c r="B29" s="94" t="s">
        <v>86</v>
      </c>
      <c r="C29" s="95"/>
      <c r="D29" s="95"/>
      <c r="E29" s="40"/>
      <c r="F29" s="40"/>
      <c r="G29" s="40"/>
      <c r="H29" s="41"/>
      <c r="I29" s="41"/>
      <c r="J29" s="41"/>
      <c r="K29" s="41"/>
      <c r="L29" s="41"/>
      <c r="M29" s="41"/>
      <c r="N29" s="41"/>
      <c r="O29" s="41"/>
      <c r="P29" s="42"/>
      <c r="Q29" s="42"/>
      <c r="R29" s="42"/>
      <c r="S29" s="48">
        <v>1847.6513457399999</v>
      </c>
      <c r="T29" s="48">
        <v>1847.6513457399999</v>
      </c>
      <c r="U29" s="49">
        <f>+IF(ISERR(T29/S29*100),"N/A",ROUND(T29/S29*100,1))</f>
        <v>100</v>
      </c>
    </row>
    <row r="30" spans="1:22" ht="14.85" customHeight="1" thickTop="1" thickBot="1" x14ac:dyDescent="0.25">
      <c r="B30" s="4" t="s">
        <v>87</v>
      </c>
      <c r="C30" s="5"/>
      <c r="D30" s="5"/>
      <c r="E30" s="5"/>
      <c r="F30" s="5"/>
      <c r="G30" s="5"/>
      <c r="H30" s="6"/>
      <c r="I30" s="6"/>
      <c r="J30" s="6"/>
      <c r="K30" s="6"/>
      <c r="L30" s="6"/>
      <c r="M30" s="6"/>
      <c r="N30" s="6"/>
      <c r="O30" s="6"/>
      <c r="P30" s="6"/>
      <c r="Q30" s="6"/>
      <c r="R30" s="6"/>
      <c r="S30" s="6"/>
      <c r="T30" s="6"/>
      <c r="U30" s="7"/>
    </row>
    <row r="31" spans="1:22" ht="44.25" customHeight="1" thickTop="1" x14ac:dyDescent="0.2">
      <c r="B31" s="89" t="s">
        <v>88</v>
      </c>
      <c r="C31" s="90"/>
      <c r="D31" s="90"/>
      <c r="E31" s="90"/>
      <c r="F31" s="90"/>
      <c r="G31" s="90"/>
      <c r="H31" s="90"/>
      <c r="I31" s="90"/>
      <c r="J31" s="90"/>
      <c r="K31" s="90"/>
      <c r="L31" s="90"/>
      <c r="M31" s="90"/>
      <c r="N31" s="90"/>
      <c r="O31" s="90"/>
      <c r="P31" s="90"/>
      <c r="Q31" s="90"/>
      <c r="R31" s="90"/>
      <c r="S31" s="90"/>
      <c r="T31" s="90"/>
      <c r="U31" s="91"/>
    </row>
    <row r="32" spans="1:22" ht="156" customHeight="1" x14ac:dyDescent="0.2">
      <c r="B32" s="96" t="s">
        <v>448</v>
      </c>
      <c r="C32" s="97"/>
      <c r="D32" s="97"/>
      <c r="E32" s="97"/>
      <c r="F32" s="97"/>
      <c r="G32" s="97"/>
      <c r="H32" s="97"/>
      <c r="I32" s="97"/>
      <c r="J32" s="97"/>
      <c r="K32" s="97"/>
      <c r="L32" s="97"/>
      <c r="M32" s="97"/>
      <c r="N32" s="97"/>
      <c r="O32" s="97"/>
      <c r="P32" s="97"/>
      <c r="Q32" s="97"/>
      <c r="R32" s="97"/>
      <c r="S32" s="97"/>
      <c r="T32" s="97"/>
      <c r="U32" s="98"/>
    </row>
    <row r="33" spans="2:21" ht="189.75" customHeight="1" x14ac:dyDescent="0.2">
      <c r="B33" s="96" t="s">
        <v>449</v>
      </c>
      <c r="C33" s="97"/>
      <c r="D33" s="97"/>
      <c r="E33" s="97"/>
      <c r="F33" s="97"/>
      <c r="G33" s="97"/>
      <c r="H33" s="97"/>
      <c r="I33" s="97"/>
      <c r="J33" s="97"/>
      <c r="K33" s="97"/>
      <c r="L33" s="97"/>
      <c r="M33" s="97"/>
      <c r="N33" s="97"/>
      <c r="O33" s="97"/>
      <c r="P33" s="97"/>
      <c r="Q33" s="97"/>
      <c r="R33" s="97"/>
      <c r="S33" s="97"/>
      <c r="T33" s="97"/>
      <c r="U33" s="98"/>
    </row>
    <row r="34" spans="2:21" ht="98.85" customHeight="1" x14ac:dyDescent="0.2">
      <c r="B34" s="96" t="s">
        <v>450</v>
      </c>
      <c r="C34" s="97"/>
      <c r="D34" s="97"/>
      <c r="E34" s="97"/>
      <c r="F34" s="97"/>
      <c r="G34" s="97"/>
      <c r="H34" s="97"/>
      <c r="I34" s="97"/>
      <c r="J34" s="97"/>
      <c r="K34" s="97"/>
      <c r="L34" s="97"/>
      <c r="M34" s="97"/>
      <c r="N34" s="97"/>
      <c r="O34" s="97"/>
      <c r="P34" s="97"/>
      <c r="Q34" s="97"/>
      <c r="R34" s="97"/>
      <c r="S34" s="97"/>
      <c r="T34" s="97"/>
      <c r="U34" s="98"/>
    </row>
    <row r="35" spans="2:21" ht="91.5" customHeight="1" x14ac:dyDescent="0.2">
      <c r="B35" s="96" t="s">
        <v>451</v>
      </c>
      <c r="C35" s="97"/>
      <c r="D35" s="97"/>
      <c r="E35" s="97"/>
      <c r="F35" s="97"/>
      <c r="G35" s="97"/>
      <c r="H35" s="97"/>
      <c r="I35" s="97"/>
      <c r="J35" s="97"/>
      <c r="K35" s="97"/>
      <c r="L35" s="97"/>
      <c r="M35" s="97"/>
      <c r="N35" s="97"/>
      <c r="O35" s="97"/>
      <c r="P35" s="97"/>
      <c r="Q35" s="97"/>
      <c r="R35" s="97"/>
      <c r="S35" s="97"/>
      <c r="T35" s="97"/>
      <c r="U35" s="98"/>
    </row>
    <row r="36" spans="2:21" ht="112.7" customHeight="1" x14ac:dyDescent="0.2">
      <c r="B36" s="96" t="s">
        <v>452</v>
      </c>
      <c r="C36" s="97"/>
      <c r="D36" s="97"/>
      <c r="E36" s="97"/>
      <c r="F36" s="97"/>
      <c r="G36" s="97"/>
      <c r="H36" s="97"/>
      <c r="I36" s="97"/>
      <c r="J36" s="97"/>
      <c r="K36" s="97"/>
      <c r="L36" s="97"/>
      <c r="M36" s="97"/>
      <c r="N36" s="97"/>
      <c r="O36" s="97"/>
      <c r="P36" s="97"/>
      <c r="Q36" s="97"/>
      <c r="R36" s="97"/>
      <c r="S36" s="97"/>
      <c r="T36" s="97"/>
      <c r="U36" s="98"/>
    </row>
    <row r="37" spans="2:21" ht="79.5" customHeight="1" x14ac:dyDescent="0.2">
      <c r="B37" s="96" t="s">
        <v>453</v>
      </c>
      <c r="C37" s="97"/>
      <c r="D37" s="97"/>
      <c r="E37" s="97"/>
      <c r="F37" s="97"/>
      <c r="G37" s="97"/>
      <c r="H37" s="97"/>
      <c r="I37" s="97"/>
      <c r="J37" s="97"/>
      <c r="K37" s="97"/>
      <c r="L37" s="97"/>
      <c r="M37" s="97"/>
      <c r="N37" s="97"/>
      <c r="O37" s="97"/>
      <c r="P37" s="97"/>
      <c r="Q37" s="97"/>
      <c r="R37" s="97"/>
      <c r="S37" s="97"/>
      <c r="T37" s="97"/>
      <c r="U37" s="98"/>
    </row>
    <row r="38" spans="2:21" ht="69.2" customHeight="1" x14ac:dyDescent="0.2">
      <c r="B38" s="96" t="s">
        <v>454</v>
      </c>
      <c r="C38" s="97"/>
      <c r="D38" s="97"/>
      <c r="E38" s="97"/>
      <c r="F38" s="97"/>
      <c r="G38" s="97"/>
      <c r="H38" s="97"/>
      <c r="I38" s="97"/>
      <c r="J38" s="97"/>
      <c r="K38" s="97"/>
      <c r="L38" s="97"/>
      <c r="M38" s="97"/>
      <c r="N38" s="97"/>
      <c r="O38" s="97"/>
      <c r="P38" s="97"/>
      <c r="Q38" s="97"/>
      <c r="R38" s="97"/>
      <c r="S38" s="97"/>
      <c r="T38" s="97"/>
      <c r="U38" s="98"/>
    </row>
    <row r="39" spans="2:21" ht="116.45" customHeight="1" x14ac:dyDescent="0.2">
      <c r="B39" s="96" t="s">
        <v>455</v>
      </c>
      <c r="C39" s="97"/>
      <c r="D39" s="97"/>
      <c r="E39" s="97"/>
      <c r="F39" s="97"/>
      <c r="G39" s="97"/>
      <c r="H39" s="97"/>
      <c r="I39" s="97"/>
      <c r="J39" s="97"/>
      <c r="K39" s="97"/>
      <c r="L39" s="97"/>
      <c r="M39" s="97"/>
      <c r="N39" s="97"/>
      <c r="O39" s="97"/>
      <c r="P39" s="97"/>
      <c r="Q39" s="97"/>
      <c r="R39" s="97"/>
      <c r="S39" s="97"/>
      <c r="T39" s="97"/>
      <c r="U39" s="98"/>
    </row>
    <row r="40" spans="2:21" ht="119.85" customHeight="1" x14ac:dyDescent="0.2">
      <c r="B40" s="96" t="s">
        <v>456</v>
      </c>
      <c r="C40" s="97"/>
      <c r="D40" s="97"/>
      <c r="E40" s="97"/>
      <c r="F40" s="97"/>
      <c r="G40" s="97"/>
      <c r="H40" s="97"/>
      <c r="I40" s="97"/>
      <c r="J40" s="97"/>
      <c r="K40" s="97"/>
      <c r="L40" s="97"/>
      <c r="M40" s="97"/>
      <c r="N40" s="97"/>
      <c r="O40" s="97"/>
      <c r="P40" s="97"/>
      <c r="Q40" s="97"/>
      <c r="R40" s="97"/>
      <c r="S40" s="97"/>
      <c r="T40" s="97"/>
      <c r="U40" s="98"/>
    </row>
    <row r="41" spans="2:21" ht="120.6" customHeight="1" x14ac:dyDescent="0.2">
      <c r="B41" s="96" t="s">
        <v>457</v>
      </c>
      <c r="C41" s="97"/>
      <c r="D41" s="97"/>
      <c r="E41" s="97"/>
      <c r="F41" s="97"/>
      <c r="G41" s="97"/>
      <c r="H41" s="97"/>
      <c r="I41" s="97"/>
      <c r="J41" s="97"/>
      <c r="K41" s="97"/>
      <c r="L41" s="97"/>
      <c r="M41" s="97"/>
      <c r="N41" s="97"/>
      <c r="O41" s="97"/>
      <c r="P41" s="97"/>
      <c r="Q41" s="97"/>
      <c r="R41" s="97"/>
      <c r="S41" s="97"/>
      <c r="T41" s="97"/>
      <c r="U41" s="98"/>
    </row>
    <row r="42" spans="2:21" ht="92.25" customHeight="1" x14ac:dyDescent="0.2">
      <c r="B42" s="96" t="s">
        <v>458</v>
      </c>
      <c r="C42" s="97"/>
      <c r="D42" s="97"/>
      <c r="E42" s="97"/>
      <c r="F42" s="97"/>
      <c r="G42" s="97"/>
      <c r="H42" s="97"/>
      <c r="I42" s="97"/>
      <c r="J42" s="97"/>
      <c r="K42" s="97"/>
      <c r="L42" s="97"/>
      <c r="M42" s="97"/>
      <c r="N42" s="97"/>
      <c r="O42" s="97"/>
      <c r="P42" s="97"/>
      <c r="Q42" s="97"/>
      <c r="R42" s="97"/>
      <c r="S42" s="97"/>
      <c r="T42" s="97"/>
      <c r="U42" s="98"/>
    </row>
    <row r="43" spans="2:21" ht="91.5" customHeight="1" x14ac:dyDescent="0.2">
      <c r="B43" s="96" t="s">
        <v>459</v>
      </c>
      <c r="C43" s="97"/>
      <c r="D43" s="97"/>
      <c r="E43" s="97"/>
      <c r="F43" s="97"/>
      <c r="G43" s="97"/>
      <c r="H43" s="97"/>
      <c r="I43" s="97"/>
      <c r="J43" s="97"/>
      <c r="K43" s="97"/>
      <c r="L43" s="97"/>
      <c r="M43" s="97"/>
      <c r="N43" s="97"/>
      <c r="O43" s="97"/>
      <c r="P43" s="97"/>
      <c r="Q43" s="97"/>
      <c r="R43" s="97"/>
      <c r="S43" s="97"/>
      <c r="T43" s="97"/>
      <c r="U43" s="98"/>
    </row>
    <row r="44" spans="2:21" ht="130.69999999999999" customHeight="1" x14ac:dyDescent="0.2">
      <c r="B44" s="96" t="s">
        <v>460</v>
      </c>
      <c r="C44" s="97"/>
      <c r="D44" s="97"/>
      <c r="E44" s="97"/>
      <c r="F44" s="97"/>
      <c r="G44" s="97"/>
      <c r="H44" s="97"/>
      <c r="I44" s="97"/>
      <c r="J44" s="97"/>
      <c r="K44" s="97"/>
      <c r="L44" s="97"/>
      <c r="M44" s="97"/>
      <c r="N44" s="97"/>
      <c r="O44" s="97"/>
      <c r="P44" s="97"/>
      <c r="Q44" s="97"/>
      <c r="R44" s="97"/>
      <c r="S44" s="97"/>
      <c r="T44" s="97"/>
      <c r="U44" s="98"/>
    </row>
    <row r="45" spans="2:21" ht="90" customHeight="1" thickBot="1" x14ac:dyDescent="0.25">
      <c r="B45" s="99" t="s">
        <v>461</v>
      </c>
      <c r="C45" s="100"/>
      <c r="D45" s="100"/>
      <c r="E45" s="100"/>
      <c r="F45" s="100"/>
      <c r="G45" s="100"/>
      <c r="H45" s="100"/>
      <c r="I45" s="100"/>
      <c r="J45" s="100"/>
      <c r="K45" s="100"/>
      <c r="L45" s="100"/>
      <c r="M45" s="100"/>
      <c r="N45" s="100"/>
      <c r="O45" s="100"/>
      <c r="P45" s="100"/>
      <c r="Q45" s="100"/>
      <c r="R45" s="100"/>
      <c r="S45" s="100"/>
      <c r="T45" s="100"/>
      <c r="U45" s="101"/>
    </row>
  </sheetData>
  <mergeCells count="80">
    <mergeCell ref="B44:U44"/>
    <mergeCell ref="B45:U45"/>
    <mergeCell ref="B38:U38"/>
    <mergeCell ref="B39:U39"/>
    <mergeCell ref="B40:U40"/>
    <mergeCell ref="B41:U41"/>
    <mergeCell ref="B42:U42"/>
    <mergeCell ref="B43:U43"/>
    <mergeCell ref="B37:U37"/>
    <mergeCell ref="C24:H24"/>
    <mergeCell ref="I24:K24"/>
    <mergeCell ref="L24:O24"/>
    <mergeCell ref="B28:D28"/>
    <mergeCell ref="B29:D29"/>
    <mergeCell ref="B31:U31"/>
    <mergeCell ref="B32:U32"/>
    <mergeCell ref="B33:U33"/>
    <mergeCell ref="B34:U34"/>
    <mergeCell ref="B35:U35"/>
    <mergeCell ref="B36:U36"/>
    <mergeCell ref="C22:H22"/>
    <mergeCell ref="I22:K22"/>
    <mergeCell ref="L22:O22"/>
    <mergeCell ref="C23:H23"/>
    <mergeCell ref="I23:K23"/>
    <mergeCell ref="L23:O23"/>
    <mergeCell ref="C20:H20"/>
    <mergeCell ref="I20:K20"/>
    <mergeCell ref="L20:O20"/>
    <mergeCell ref="C21:H21"/>
    <mergeCell ref="I21:K21"/>
    <mergeCell ref="L21:O21"/>
    <mergeCell ref="C18:H18"/>
    <mergeCell ref="I18:K18"/>
    <mergeCell ref="L18:O18"/>
    <mergeCell ref="C19:H19"/>
    <mergeCell ref="I19:K19"/>
    <mergeCell ref="L19:O19"/>
    <mergeCell ref="C16:H16"/>
    <mergeCell ref="I16:K16"/>
    <mergeCell ref="L16:O16"/>
    <mergeCell ref="C17:H17"/>
    <mergeCell ref="I17:K17"/>
    <mergeCell ref="L17:O17"/>
    <mergeCell ref="C14:H14"/>
    <mergeCell ref="I14:K14"/>
    <mergeCell ref="L14:O14"/>
    <mergeCell ref="C15:H15"/>
    <mergeCell ref="I15:K15"/>
    <mergeCell ref="L15:O15"/>
    <mergeCell ref="C12:H12"/>
    <mergeCell ref="I12:K12"/>
    <mergeCell ref="L12:O12"/>
    <mergeCell ref="C13:H13"/>
    <mergeCell ref="I13:K13"/>
    <mergeCell ref="L13:O13"/>
    <mergeCell ref="C11:H11"/>
    <mergeCell ref="I11:K11"/>
    <mergeCell ref="L11:O11"/>
    <mergeCell ref="C6:G6"/>
    <mergeCell ref="K6:M6"/>
    <mergeCell ref="P6:Q6"/>
    <mergeCell ref="T6:U6"/>
    <mergeCell ref="B8:B10"/>
    <mergeCell ref="C8:H10"/>
    <mergeCell ref="I8:S8"/>
    <mergeCell ref="T8:U8"/>
    <mergeCell ref="I9:K10"/>
    <mergeCell ref="L9:O10"/>
    <mergeCell ref="P9:P10"/>
    <mergeCell ref="Q9:Q10"/>
    <mergeCell ref="R9:S9"/>
    <mergeCell ref="T9:T10"/>
    <mergeCell ref="U9:U10"/>
    <mergeCell ref="B5:U5"/>
    <mergeCell ref="B1:L1"/>
    <mergeCell ref="D4:H4"/>
    <mergeCell ref="L4:O4"/>
    <mergeCell ref="Q4:R4"/>
    <mergeCell ref="T4:U4"/>
  </mergeCells>
  <printOptions horizontalCentered="1"/>
  <pageMargins left="0.78740157480314965" right="0.78740157480314965" top="0.98425196850393704" bottom="0.98425196850393704" header="0" footer="0.39370078740157483"/>
  <pageSetup scale="60" fitToHeight="10" orientation="landscape" r:id="rId1"/>
  <headerFooter>
    <oddFooter>&amp;R&amp;P de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32</vt:i4>
      </vt:variant>
      <vt:variant>
        <vt:lpstr>Rangos con nombre</vt:lpstr>
      </vt:variant>
      <vt:variant>
        <vt:i4>64</vt:i4>
      </vt:variant>
    </vt:vector>
  </HeadingPairs>
  <TitlesOfParts>
    <vt:vector size="96" baseType="lpstr">
      <vt:lpstr>Portada</vt:lpstr>
      <vt:lpstr>11 E007</vt:lpstr>
      <vt:lpstr>11 E008</vt:lpstr>
      <vt:lpstr>11 E010</vt:lpstr>
      <vt:lpstr>11 E011</vt:lpstr>
      <vt:lpstr>11 E012</vt:lpstr>
      <vt:lpstr>11 E021</vt:lpstr>
      <vt:lpstr>11 E062</vt:lpstr>
      <vt:lpstr>11 E063</vt:lpstr>
      <vt:lpstr>11 E064</vt:lpstr>
      <vt:lpstr>11 S027</vt:lpstr>
      <vt:lpstr>11 S028</vt:lpstr>
      <vt:lpstr>11 S029</vt:lpstr>
      <vt:lpstr>11 S035</vt:lpstr>
      <vt:lpstr>11 S108</vt:lpstr>
      <vt:lpstr>11 S119</vt:lpstr>
      <vt:lpstr>11 S127</vt:lpstr>
      <vt:lpstr>11 S152</vt:lpstr>
      <vt:lpstr>11 S156</vt:lpstr>
      <vt:lpstr>11 S204</vt:lpstr>
      <vt:lpstr>11 S205</vt:lpstr>
      <vt:lpstr>11 S206</vt:lpstr>
      <vt:lpstr>11 S207</vt:lpstr>
      <vt:lpstr>11 S208</vt:lpstr>
      <vt:lpstr>11 S221</vt:lpstr>
      <vt:lpstr>11 U006</vt:lpstr>
      <vt:lpstr>11 U008</vt:lpstr>
      <vt:lpstr>11 U018</vt:lpstr>
      <vt:lpstr>11 U019</vt:lpstr>
      <vt:lpstr>11 U022</vt:lpstr>
      <vt:lpstr>11 U023</vt:lpstr>
      <vt:lpstr>11 U024</vt:lpstr>
      <vt:lpstr>'11 E007'!Área_de_impresión</vt:lpstr>
      <vt:lpstr>'11 E008'!Área_de_impresión</vt:lpstr>
      <vt:lpstr>'11 E010'!Área_de_impresión</vt:lpstr>
      <vt:lpstr>'11 E011'!Área_de_impresión</vt:lpstr>
      <vt:lpstr>'11 E012'!Área_de_impresión</vt:lpstr>
      <vt:lpstr>'11 E021'!Área_de_impresión</vt:lpstr>
      <vt:lpstr>'11 E062'!Área_de_impresión</vt:lpstr>
      <vt:lpstr>'11 E063'!Área_de_impresión</vt:lpstr>
      <vt:lpstr>'11 E064'!Área_de_impresión</vt:lpstr>
      <vt:lpstr>'11 S027'!Área_de_impresión</vt:lpstr>
      <vt:lpstr>'11 S028'!Área_de_impresión</vt:lpstr>
      <vt:lpstr>'11 S029'!Área_de_impresión</vt:lpstr>
      <vt:lpstr>'11 S035'!Área_de_impresión</vt:lpstr>
      <vt:lpstr>'11 S108'!Área_de_impresión</vt:lpstr>
      <vt:lpstr>'11 S119'!Área_de_impresión</vt:lpstr>
      <vt:lpstr>'11 S127'!Área_de_impresión</vt:lpstr>
      <vt:lpstr>'11 S152'!Área_de_impresión</vt:lpstr>
      <vt:lpstr>'11 S156'!Área_de_impresión</vt:lpstr>
      <vt:lpstr>'11 S204'!Área_de_impresión</vt:lpstr>
      <vt:lpstr>'11 S205'!Área_de_impresión</vt:lpstr>
      <vt:lpstr>'11 S206'!Área_de_impresión</vt:lpstr>
      <vt:lpstr>'11 S207'!Área_de_impresión</vt:lpstr>
      <vt:lpstr>'11 S208'!Área_de_impresión</vt:lpstr>
      <vt:lpstr>'11 S221'!Área_de_impresión</vt:lpstr>
      <vt:lpstr>'11 U006'!Área_de_impresión</vt:lpstr>
      <vt:lpstr>'11 U008'!Área_de_impresión</vt:lpstr>
      <vt:lpstr>'11 U018'!Área_de_impresión</vt:lpstr>
      <vt:lpstr>'11 U019'!Área_de_impresión</vt:lpstr>
      <vt:lpstr>'11 U022'!Área_de_impresión</vt:lpstr>
      <vt:lpstr>'11 U023'!Área_de_impresión</vt:lpstr>
      <vt:lpstr>'11 U024'!Área_de_impresión</vt:lpstr>
      <vt:lpstr>Portada!Área_de_impresión</vt:lpstr>
      <vt:lpstr>'11 E007'!Títulos_a_imprimir</vt:lpstr>
      <vt:lpstr>'11 E008'!Títulos_a_imprimir</vt:lpstr>
      <vt:lpstr>'11 E010'!Títulos_a_imprimir</vt:lpstr>
      <vt:lpstr>'11 E011'!Títulos_a_imprimir</vt:lpstr>
      <vt:lpstr>'11 E012'!Títulos_a_imprimir</vt:lpstr>
      <vt:lpstr>'11 E021'!Títulos_a_imprimir</vt:lpstr>
      <vt:lpstr>'11 E062'!Títulos_a_imprimir</vt:lpstr>
      <vt:lpstr>'11 E063'!Títulos_a_imprimir</vt:lpstr>
      <vt:lpstr>'11 E064'!Títulos_a_imprimir</vt:lpstr>
      <vt:lpstr>'11 S027'!Títulos_a_imprimir</vt:lpstr>
      <vt:lpstr>'11 S028'!Títulos_a_imprimir</vt:lpstr>
      <vt:lpstr>'11 S029'!Títulos_a_imprimir</vt:lpstr>
      <vt:lpstr>'11 S035'!Títulos_a_imprimir</vt:lpstr>
      <vt:lpstr>'11 S108'!Títulos_a_imprimir</vt:lpstr>
      <vt:lpstr>'11 S119'!Títulos_a_imprimir</vt:lpstr>
      <vt:lpstr>'11 S127'!Títulos_a_imprimir</vt:lpstr>
      <vt:lpstr>'11 S152'!Títulos_a_imprimir</vt:lpstr>
      <vt:lpstr>'11 S156'!Títulos_a_imprimir</vt:lpstr>
      <vt:lpstr>'11 S204'!Títulos_a_imprimir</vt:lpstr>
      <vt:lpstr>'11 S205'!Títulos_a_imprimir</vt:lpstr>
      <vt:lpstr>'11 S206'!Títulos_a_imprimir</vt:lpstr>
      <vt:lpstr>'11 S207'!Títulos_a_imprimir</vt:lpstr>
      <vt:lpstr>'11 S208'!Títulos_a_imprimir</vt:lpstr>
      <vt:lpstr>'11 S221'!Títulos_a_imprimir</vt:lpstr>
      <vt:lpstr>'11 U006'!Títulos_a_imprimir</vt:lpstr>
      <vt:lpstr>'11 U008'!Títulos_a_imprimir</vt:lpstr>
      <vt:lpstr>'11 U018'!Títulos_a_imprimir</vt:lpstr>
      <vt:lpstr>'11 U019'!Títulos_a_imprimir</vt:lpstr>
      <vt:lpstr>'11 U022'!Títulos_a_imprimir</vt:lpstr>
      <vt:lpstr>'11 U023'!Títulos_a_imprimir</vt:lpstr>
      <vt:lpstr>'11 U024'!Títulos_a_imprimir</vt:lpstr>
      <vt:lpstr>Portada!Títulos_a_imprimir</vt:lpstr>
    </vt:vector>
  </TitlesOfParts>
  <Company>SHCP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vanesa_stoehr</dc:creator>
  <cp:lastModifiedBy>manuel_marrufo</cp:lastModifiedBy>
  <cp:lastPrinted>2009-03-26T01:46:20Z</cp:lastPrinted>
  <dcterms:created xsi:type="dcterms:W3CDTF">2009-03-25T01:44:41Z</dcterms:created>
  <dcterms:modified xsi:type="dcterms:W3CDTF">2014-04-09T20:17:08Z</dcterms:modified>
</cp:coreProperties>
</file>