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15" windowWidth="12630" windowHeight="12405" firstSheet="8" activeTab="9"/>
  </bookViews>
  <sheets>
    <sheet name="Portada" sheetId="1" r:id="rId1"/>
    <sheet name="16 K007" sheetId="2" r:id="rId2"/>
    <sheet name="16 K129" sheetId="3" r:id="rId3"/>
    <sheet name="16 K131" sheetId="4" r:id="rId4"/>
    <sheet name="16 S046" sheetId="5" r:id="rId5"/>
    <sheet name="16 S071" sheetId="6" r:id="rId6"/>
    <sheet name="16 S074" sheetId="7" r:id="rId7"/>
    <sheet name="16 S075" sheetId="8" r:id="rId8"/>
    <sheet name="16 S079" sheetId="9" r:id="rId9"/>
    <sheet name="16 S218" sheetId="10" r:id="rId10"/>
    <sheet name="16 S219" sheetId="11" r:id="rId11"/>
    <sheet name="16 U012" sheetId="12" r:id="rId12"/>
    <sheet name="16 U020" sheetId="13" r:id="rId13"/>
  </sheets>
  <definedNames>
    <definedName name="_xlnm.Print_Area" localSheetId="1">'16 K007'!$B$1:$U$31</definedName>
    <definedName name="_xlnm.Print_Area" localSheetId="2">'16 K129'!$B$1:$U$37</definedName>
    <definedName name="_xlnm.Print_Area" localSheetId="3">'16 K131'!$B$1:$U$35</definedName>
    <definedName name="_xlnm.Print_Area" localSheetId="4">'16 S046'!$B$1:$U$49</definedName>
    <definedName name="_xlnm.Print_Area" localSheetId="5">'16 S071'!$B$1:$U$33</definedName>
    <definedName name="_xlnm.Print_Area" localSheetId="6">'16 S074'!$B$1:$U$39</definedName>
    <definedName name="_xlnm.Print_Area" localSheetId="7">'16 S075'!$B$1:$U$41</definedName>
    <definedName name="_xlnm.Print_Area" localSheetId="8">'16 S079'!$B$1:$U$59</definedName>
    <definedName name="_xlnm.Print_Area" localSheetId="9">'16 S218'!$B$1:$U$33</definedName>
    <definedName name="_xlnm.Print_Area" localSheetId="10">'16 S219'!$B$1:$U$60</definedName>
    <definedName name="_xlnm.Print_Area" localSheetId="11">'16 U012'!$B$1:$U$35</definedName>
    <definedName name="_xlnm.Print_Area" localSheetId="12">'16 U020'!$B$1:$U$31</definedName>
    <definedName name="_xlnm.Print_Area" localSheetId="0">Portada!$B$1:$AD$86</definedName>
    <definedName name="_xlnm.Print_Titles" localSheetId="1">'16 K007'!$1:$4</definedName>
    <definedName name="_xlnm.Print_Titles" localSheetId="2">'16 K129'!$1:$4</definedName>
    <definedName name="_xlnm.Print_Titles" localSheetId="3">'16 K131'!$1:$4</definedName>
    <definedName name="_xlnm.Print_Titles" localSheetId="4">'16 S046'!$1:$4</definedName>
    <definedName name="_xlnm.Print_Titles" localSheetId="5">'16 S071'!$1:$4</definedName>
    <definedName name="_xlnm.Print_Titles" localSheetId="6">'16 S074'!$1:$4</definedName>
    <definedName name="_xlnm.Print_Titles" localSheetId="7">'16 S075'!$1:$4</definedName>
    <definedName name="_xlnm.Print_Titles" localSheetId="8">'16 S079'!$1:$4</definedName>
    <definedName name="_xlnm.Print_Titles" localSheetId="9">'16 S218'!$1:$4</definedName>
    <definedName name="_xlnm.Print_Titles" localSheetId="10">'16 S219'!$1:$4</definedName>
    <definedName name="_xlnm.Print_Titles" localSheetId="11">'16 U012'!$1:$4</definedName>
    <definedName name="_xlnm.Print_Titles" localSheetId="12">'16 U020'!$1:$4</definedName>
    <definedName name="_xlnm.Print_Titles" localSheetId="0">Portada!$1:$4</definedName>
  </definedNames>
  <calcPr calcId="145621"/>
</workbook>
</file>

<file path=xl/calcChain.xml><?xml version="1.0" encoding="utf-8"?>
<calcChain xmlns="http://schemas.openxmlformats.org/spreadsheetml/2006/main">
  <c r="U22" i="3" l="1"/>
  <c r="U23" i="3"/>
  <c r="U11" i="5" l="1"/>
  <c r="U20" i="13" l="1"/>
  <c r="U19" i="13"/>
  <c r="U15" i="13"/>
  <c r="U14" i="13"/>
  <c r="U13" i="13"/>
  <c r="U12" i="13"/>
  <c r="U11" i="13"/>
  <c r="U22" i="12"/>
  <c r="U21" i="12"/>
  <c r="U17" i="12"/>
  <c r="U16" i="12"/>
  <c r="U15" i="12"/>
  <c r="U14" i="12"/>
  <c r="U13" i="12"/>
  <c r="U12" i="12"/>
  <c r="U11" i="12"/>
  <c r="U35" i="11"/>
  <c r="U34" i="11"/>
  <c r="U30" i="11"/>
  <c r="U29" i="11"/>
  <c r="U28" i="11"/>
  <c r="U27" i="11"/>
  <c r="U26" i="11"/>
  <c r="U25" i="11"/>
  <c r="U24" i="11"/>
  <c r="U23" i="11"/>
  <c r="U22" i="11"/>
  <c r="U21" i="11"/>
  <c r="U20" i="11"/>
  <c r="U19" i="11"/>
  <c r="U18" i="11"/>
  <c r="U17" i="11"/>
  <c r="U16" i="11"/>
  <c r="U15" i="11"/>
  <c r="U14" i="11"/>
  <c r="U13" i="11"/>
  <c r="U12" i="11"/>
  <c r="U11" i="11"/>
  <c r="U21" i="10"/>
  <c r="U20" i="10"/>
  <c r="U16" i="10"/>
  <c r="U15" i="10"/>
  <c r="U14" i="10"/>
  <c r="U13" i="10"/>
  <c r="U12" i="10"/>
  <c r="U11" i="10"/>
  <c r="U34" i="9"/>
  <c r="U33" i="9"/>
  <c r="U29" i="9"/>
  <c r="U28" i="9"/>
  <c r="U27" i="9"/>
  <c r="U26" i="9"/>
  <c r="U25" i="9"/>
  <c r="U24" i="9"/>
  <c r="U23" i="9"/>
  <c r="U22" i="9"/>
  <c r="U21" i="9"/>
  <c r="U20" i="9"/>
  <c r="U19" i="9"/>
  <c r="U18" i="9"/>
  <c r="U17" i="9"/>
  <c r="U16" i="9"/>
  <c r="U15" i="9"/>
  <c r="U14" i="9"/>
  <c r="U13" i="9"/>
  <c r="U12" i="9"/>
  <c r="U11" i="9"/>
  <c r="U25" i="8"/>
  <c r="U24" i="8"/>
  <c r="U20" i="8"/>
  <c r="U19" i="8"/>
  <c r="U18" i="8"/>
  <c r="U17" i="8"/>
  <c r="U16" i="8"/>
  <c r="U15" i="8"/>
  <c r="U14" i="8"/>
  <c r="U13" i="8"/>
  <c r="U12" i="8"/>
  <c r="U11" i="8"/>
  <c r="U24" i="7"/>
  <c r="U23" i="7"/>
  <c r="U19" i="7"/>
  <c r="U18" i="7"/>
  <c r="U17" i="7"/>
  <c r="U16" i="7"/>
  <c r="U15" i="7"/>
  <c r="U14" i="7"/>
  <c r="U13" i="7"/>
  <c r="U12" i="7"/>
  <c r="U11" i="7"/>
  <c r="U21" i="6"/>
  <c r="U20" i="6"/>
  <c r="U16" i="6"/>
  <c r="U15" i="6"/>
  <c r="U14" i="6"/>
  <c r="U13" i="6"/>
  <c r="U12" i="6"/>
  <c r="U11" i="6"/>
  <c r="U29" i="5"/>
  <c r="U28" i="5"/>
  <c r="U24" i="5"/>
  <c r="U23" i="5"/>
  <c r="U22" i="5"/>
  <c r="U21" i="5"/>
  <c r="U20" i="5"/>
  <c r="U19" i="5"/>
  <c r="U18" i="5"/>
  <c r="U17" i="5"/>
  <c r="U16" i="5"/>
  <c r="U15" i="5"/>
  <c r="U14" i="5"/>
  <c r="U13" i="5"/>
  <c r="U12" i="5"/>
  <c r="U22" i="4"/>
  <c r="U21" i="4"/>
  <c r="U17" i="4"/>
  <c r="U16" i="4"/>
  <c r="U15" i="4"/>
  <c r="U14" i="4"/>
  <c r="U13" i="4"/>
  <c r="U12" i="4"/>
  <c r="U11" i="4"/>
  <c r="U18" i="3"/>
  <c r="U17" i="3"/>
  <c r="U16" i="3"/>
  <c r="U15" i="3"/>
  <c r="U14" i="3"/>
  <c r="U13" i="3"/>
  <c r="U12" i="3"/>
  <c r="U11" i="3"/>
  <c r="U20" i="2"/>
  <c r="U19" i="2"/>
  <c r="U15" i="2"/>
  <c r="U14" i="2"/>
  <c r="U13" i="2"/>
  <c r="U12" i="2"/>
  <c r="U11" i="2"/>
</calcChain>
</file>

<file path=xl/sharedStrings.xml><?xml version="1.0" encoding="utf-8"?>
<sst xmlns="http://schemas.openxmlformats.org/spreadsheetml/2006/main" count="1386" uniqueCount="547">
  <si>
    <t>Avance en los Indicadores de los Programas presupuestarios de la Administración Pública Federal</t>
  </si>
  <si>
    <t xml:space="preserve">    Ejercicio Fiscal 2013</t>
  </si>
  <si>
    <t>Ramo 16
Medio Ambiente y Recursos Naturales</t>
  </si>
  <si>
    <t>Programas presupuestarios cuya MIR se incluye en el reporte</t>
  </si>
  <si>
    <t xml:space="preserve">K-007 Proyectos de infraestructura económica de agua potable, alcantarillado y saneamiento
K-129 Infraestructura para la Protección de Centros de Población y Áreas Productivas
K-131 Túnel Emisor Oriente y Central y Planta de Tratamiento Atotonilco
S-046 Programa de Conservación para el Desarrollo Sostenible (PROCODES)
S-071 Programa de Empleo Temporal (PET)
S-074 Programa de Agua Potable, Alcantarillado y Saneamiento en Zonas Urbanas
S-075 Programa para la Construcción y Rehabilitación de Sistemas de Agua Potable y Saneamiento en Zonas Rurales
S-079 Programa de Rehabilitación, Modernización y Equipamiento de Distritos de Riego
S-218 Programa de Tratamiento de Aguas Residuales
S-219 Programa Nacional Forestal Pago por Servicios Ambientales
U-012 Prevención y gestión integral de residuos
U-020 Fomento para la Conservación y Aprovechamiento Sustentable de la Vida Silvestre
</t>
  </si>
  <si>
    <t>DATOS DEL PROGRAMA</t>
  </si>
  <si>
    <t>Programa presupuestario</t>
  </si>
  <si>
    <t>K007</t>
  </si>
  <si>
    <t>Proyectos de infraestructura económica de agua potable, alcantarillado y saneamiento</t>
  </si>
  <si>
    <t>Ramo</t>
  </si>
  <si>
    <t>16</t>
  </si>
  <si>
    <t>Medio Ambiente y Recursos Naturales</t>
  </si>
  <si>
    <t>Unidad responsable</t>
  </si>
  <si>
    <t>B00-Comisión Nacional del Agua</t>
  </si>
  <si>
    <t>Enfoques transversales</t>
  </si>
  <si>
    <t>Clasificación Funcional</t>
  </si>
  <si>
    <t>Finalidad</t>
  </si>
  <si>
    <t>2 - Desarrollo Social</t>
  </si>
  <si>
    <t>Función</t>
  </si>
  <si>
    <t>2 - Vivienda y Servicios a la Comunidad</t>
  </si>
  <si>
    <t>Subfunción</t>
  </si>
  <si>
    <t>3 - Abastecimiento de Agua</t>
  </si>
  <si>
    <t>Actividad Institucional</t>
  </si>
  <si>
    <t>3 - Manejo eficiente y sustentable del agua y prevención de inundaciones</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</si>
  <si>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</si>
  <si>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</si>
  <si>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</si>
  <si>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</si>
  <si>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</si>
  <si>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</si>
  <si>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</si>
  <si>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</si>
  <si>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</si>
  <si>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</si>
  <si>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</si>
  <si>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</si>
  <si>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</si>
  <si>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</si>
  <si>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</si>
  <si>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la sustentabilidad Ambiental mediante la construcción de infraestructura hidráulica en el Valle de México</t>
  </si>
  <si>
    <r>
      <t>Porcentaje de cobertura de tratamiento de aguas residuales</t>
    </r>
    <r>
      <rPr>
        <i/>
        <sz val="10"/>
        <color indexed="30"/>
        <rFont val="Soberana Sans"/>
        <family val="3"/>
      </rPr>
      <t xml:space="preserve">
</t>
    </r>
  </si>
  <si>
    <t>[(aguas residuales tratadas)/(total de aguas residuales)]*100</t>
  </si>
  <si>
    <t>Porcentaje</t>
  </si>
  <si>
    <t>Estratégico-Eficacia-Anual</t>
  </si>
  <si>
    <t>Propósito</t>
  </si>
  <si>
    <t>Los habitantes del Valle de México están protegidos de inundaciones con la infraestructura hidráulica</t>
  </si>
  <si>
    <r>
      <t>Porcentaje de población protegida</t>
    </r>
    <r>
      <rPr>
        <i/>
        <sz val="10"/>
        <color indexed="30"/>
        <rFont val="Soberana Sans"/>
        <family val="3"/>
      </rPr>
      <t xml:space="preserve">
</t>
    </r>
  </si>
  <si>
    <t>[(población del Valle de México protegida)/(población total del Valle de México)]*100</t>
  </si>
  <si>
    <t>Estratégico-Eficacia-Semestral</t>
  </si>
  <si>
    <t/>
  </si>
  <si>
    <r>
      <t>Porcentaje de capacidad de Drenaje del Valle de México</t>
    </r>
    <r>
      <rPr>
        <i/>
        <sz val="10"/>
        <color indexed="30"/>
        <rFont val="Soberana Sans"/>
        <family val="3"/>
      </rPr>
      <t xml:space="preserve">
</t>
    </r>
  </si>
  <si>
    <t>[(capacidad de drenaje instalada en el Valle de México)/(capacidad de drenaje necesaria en el Valle de México)]*100</t>
  </si>
  <si>
    <t>Componente</t>
  </si>
  <si>
    <t>A Colectores pluviales, de estiaje y sanitarios, para minimizar los problemas de inundaciones en los municipios colindantes al caudal del Rio de la Compañía entregados</t>
  </si>
  <si>
    <r>
      <t>Porcentaje de avance fisico de colectores pluviales, de estiaje y sanitarios para minimizar los problemas de inundaciones en los municipios colindantes al caudal del Rio de la Compañia</t>
    </r>
    <r>
      <rPr>
        <i/>
        <sz val="10"/>
        <color indexed="30"/>
        <rFont val="Soberana Sans"/>
        <family val="3"/>
      </rPr>
      <t xml:space="preserve">
Indicador Seleccionado</t>
    </r>
  </si>
  <si>
    <t>{¿[(porcentaje de avance de construcción de cada proyecto)*(importe total del construcción de cada proyecto)]} / [¿(importe total del construcción de cada proyecto)]*100</t>
  </si>
  <si>
    <t>Estratégico-Eficacia-Trimestral</t>
  </si>
  <si>
    <t>Actividad</t>
  </si>
  <si>
    <t>A 1 Revisión del Túnel del Río de la Compañía</t>
  </si>
  <si>
    <r>
      <t>Porcentaje de capacidad de Desalojo del Cajon de Estiaje</t>
    </r>
    <r>
      <rPr>
        <i/>
        <sz val="10"/>
        <color indexed="30"/>
        <rFont val="Soberana Sans"/>
        <family val="3"/>
      </rPr>
      <t xml:space="preserve">
</t>
    </r>
  </si>
  <si>
    <t xml:space="preserve"> (Flujo de agua en operación/Flujo de agua según el diseño)*100  </t>
  </si>
  <si>
    <t>Gestión-Eficacia-Trimestral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</si>
  <si>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</si>
  <si>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</si>
  <si>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</si>
  <si>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</si>
  <si>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</si>
  <si>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</si>
  <si>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</si>
  <si>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</si>
  <si>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</si>
  <si>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cobertura de tratamiento de aguas residuales
</t>
    </r>
    <r>
      <rPr>
        <sz val="10"/>
        <rFont val="Soberana Sans"/>
        <family val="2"/>
      </rPr>
      <t xml:space="preserve"> Causa : Al diseñar la MIR no se planteo adecuadamente el indicador de acuerdo al proyecto para 2013, ya que las obras del Túnel Río de la Compañía concluyeron y operan desde 2012; para 2013 no se registra avance en construcción de obra, sólo se programó el PAGO de PASIVOS de las obras del ejercicio anterior Efecto: Con la puesta en marcha de las obras del Ducto de estiaje Túnel Río de la Compañia se logra una conducción de aguas Residuales de 13m3/s Otros Motivos:</t>
    </r>
  </si>
  <si>
    <r>
      <t xml:space="preserve">Porcentaje de población protegida
</t>
    </r>
    <r>
      <rPr>
        <sz val="10"/>
        <rFont val="Soberana Sans"/>
        <family val="2"/>
      </rPr>
      <t xml:space="preserve"> Causa :  Al diseñar la MIR no se planteó adecuadamente el indicador de acuerdo al proyecto para 2013, ya que las obras del Túnel Río de la Compañía se concluyeron y operan desde 2012; para 2013 no se registra avance en construcción de obra, sólo se programó el pago de pasivos de las obras del ejercicio anterior Efecto: Con la puesta en marcha de las obras del Ducto de Estiaje Túnel Río de la Compañía se logra una conducción de 13 M3/s  Otros Motivos:</t>
    </r>
  </si>
  <si>
    <r>
      <t xml:space="preserve">Porcentaje de capacidad de Drenaje del Valle de México
</t>
    </r>
    <r>
      <rPr>
        <sz val="10"/>
        <rFont val="Soberana Sans"/>
        <family val="2"/>
      </rPr>
      <t xml:space="preserve"> Causa : Al diseñar la MIR no se planteó adecuadamente el indicador de acuerdo al proyecto para 2013, ya que las obras del Túnel Río de la Compañía se concluyeron y operan desde 2012; para 2013 no se registra avance en construcción de obra, sólo se programó el pago de pasivos de las obras del ejercicio anterior Efecto: Con la puesta en marcha de las obras del Ducto de Estiaje Túnel Río de la Compañía se logra una conducción de 13 M3/s  Otros Motivos:</t>
    </r>
  </si>
  <si>
    <r>
      <t xml:space="preserve">Porcentaje de avance fisico de colectores pluviales, de estiaje y sanitarios para minimizar los problemas de inundaciones en los municipios colindantes al caudal del Rio de la Compañia
</t>
    </r>
    <r>
      <rPr>
        <sz val="10"/>
        <rFont val="Soberana Sans"/>
        <family val="2"/>
      </rPr>
      <t xml:space="preserve"> Causa : Se terminó el ducto de estiaje del Rio de la Compañía. Efecto: La población que se encuentra en la zona colindante al caudal del Rio de la Compañía (Chalco, Valle de Chalco e Ixtapaluca), tiene el beneficio directo con éste proyecto. Otros Motivos:</t>
    </r>
  </si>
  <si>
    <r>
      <t xml:space="preserve">Porcentaje de capacidad de Desalojo del Cajon de Estiaje
</t>
    </r>
    <r>
      <rPr>
        <sz val="10"/>
        <rFont val="Soberana Sans"/>
        <family val="2"/>
      </rPr>
      <t xml:space="preserve"> Causa : ¿ Al diseñar la MIR no se planteó adecuadamente el indicador de acuerdo al proyecto para 2013, ya que las obras del Túnel Río de la Compañía se concluyeron y operan desde 2012; para 2013 no se registra avance en construcción de obra, sólo se programó el pago de pasivos de las obras del ejercicio anterior Efecto: Con la puesta en marcha de las obras del Ducto de Estiaje Túnel Río de la Compañía se logra una conducción de 13 M3/s  Otros Motivos:</t>
    </r>
  </si>
  <si>
    <t>K129</t>
  </si>
  <si>
    <t>Infraestructura para la Protección de Centros de Población y Áreas Productivas</t>
  </si>
  <si>
    <t>1 - Protección Ambiental</t>
  </si>
  <si>
    <t>2 - Administración del Agua</t>
  </si>
  <si>
    <t>Contribuir a mitigar los efectos de inundaciones a centros de población y áreas productivas de los riesgos derivados de fenómenos hidrometeorológicos mediante la construcción de infraestructura hidráulica de protección.</t>
  </si>
  <si>
    <r>
      <t>Porcentaje de hectareas con mitigación por riesgo a inundaciones</t>
    </r>
    <r>
      <rPr>
        <i/>
        <sz val="10"/>
        <color indexed="30"/>
        <rFont val="Soberana Sans"/>
        <family val="3"/>
      </rPr>
      <t xml:space="preserve">
</t>
    </r>
  </si>
  <si>
    <t>(¿Hpo/¿Hp) x 100  (Número de hectáreas que han visto reducido su riesgo a los efectos de los eventos meteorológicos extremos, en el periodo / Número de hectáreas susceptibles a los efectos de las inundaciones, programado en el año) x100</t>
  </si>
  <si>
    <r>
      <t>Porcentaje de habitantes con mitigación por riesgo a inundaciones</t>
    </r>
    <r>
      <rPr>
        <i/>
        <sz val="10"/>
        <color indexed="30"/>
        <rFont val="Soberana Sans"/>
        <family val="3"/>
      </rPr>
      <t xml:space="preserve">
Indicador Seleccionado</t>
    </r>
  </si>
  <si>
    <t>(Hp / Hri) X 100  (Número de habitantes que han visto reducido su riesgo a los efectos de los eventos meteorológicos extremos, en el periodo / Número de habitantes susceptibles a los efectos de las inundaciones, programado en el año)x100</t>
  </si>
  <si>
    <t>Los centros de población y áreas productivas cuentan con las obras de infraestructura hidráulica para mitigar los efectos de inundación.</t>
  </si>
  <si>
    <r>
      <t>Porcentaje de obras de infraestructura en construcción</t>
    </r>
    <r>
      <rPr>
        <i/>
        <sz val="10"/>
        <color indexed="30"/>
        <rFont val="Soberana Sans"/>
        <family val="3"/>
      </rPr>
      <t xml:space="preserve">
</t>
    </r>
  </si>
  <si>
    <t>( Oc / Op) X 100  (Número de obras de infraestructura  hidráulica de protección construidas, en el periodo / Número de obras de infraestructura hidráulica de protección programadas para construcción en el año)x100</t>
  </si>
  <si>
    <t>A Infraestructura hidráulica de protección para centros de población y Áreas productivas construida.</t>
  </si>
  <si>
    <r>
      <t>Porcentaje de Avance Físico de obra en construcción de infraestructura hidráulica para áreas productivas</t>
    </r>
    <r>
      <rPr>
        <i/>
        <sz val="10"/>
        <color indexed="30"/>
        <rFont val="Soberana Sans"/>
        <family val="3"/>
      </rPr>
      <t xml:space="preserve">
</t>
    </r>
  </si>
  <si>
    <t>(¿AFc/¿AFp) x 100  (Avance físico de obras en construcción de infraestructura hidráulica de protección, en el periodo / Total de avance físico de obra en construcción de Infraestructura hidráulica de protección, programada en el año) x 100</t>
  </si>
  <si>
    <t>Gestión-Eficacia-Semestral</t>
  </si>
  <si>
    <r>
      <t>Porcentaje de Avance Físico de obra en infraestructura hidráulica para centros de población</t>
    </r>
    <r>
      <rPr>
        <i/>
        <sz val="10"/>
        <color indexed="30"/>
        <rFont val="Soberana Sans"/>
        <family val="3"/>
      </rPr>
      <t xml:space="preserve">
</t>
    </r>
  </si>
  <si>
    <t>( AFc /  AFp) X 100  (Avance físico de obras en construcción de infraestructura hidráulica de protección, en el periodo / Total de avance físico de obras en construcción de Infraestructura hidráulica de protección programadas en el año) x 100</t>
  </si>
  <si>
    <t>A 1 Estudios de Factibilidad y proyectos Ejecutivos de obras de protección.</t>
  </si>
  <si>
    <r>
      <t>Porcentaje de estudios y proyectos ejecutivos realizados</t>
    </r>
    <r>
      <rPr>
        <i/>
        <sz val="10"/>
        <color indexed="30"/>
        <rFont val="Soberana Sans"/>
        <family val="3"/>
      </rPr>
      <t xml:space="preserve">
</t>
    </r>
  </si>
  <si>
    <t>( NEIPEc /NEIPp) X 100  (Número de estudios y proyectos ejecutivos realizados en el año /Número de estudios y proyectos ejecutivos programados, en el año) x 100</t>
  </si>
  <si>
    <t>A 2 Presupuesto para la Infraestructura Hidráulica para protección a centros de población y áreas productivas.</t>
  </si>
  <si>
    <r>
      <t xml:space="preserve">Porcentaje de Avance Financiero del presupuesto autorizado para infraestructura hidráulica para centros de población       </t>
    </r>
    <r>
      <rPr>
        <i/>
        <sz val="10"/>
        <color indexed="30"/>
        <rFont val="Soberana Sans"/>
        <family val="3"/>
      </rPr>
      <t xml:space="preserve">
</t>
    </r>
  </si>
  <si>
    <t>( PEPCP / PPPCP) X 100  (Presupuesto ejercido en Protección en Centros de Población (PCP) / Presupuesto programado en Protección en Centros de Población (PCP) ) x 100</t>
  </si>
  <si>
    <r>
      <t>Porcentaje de Avance Financiero de obra en construcción de infraestructura hidráulica para áreas productivas.</t>
    </r>
    <r>
      <rPr>
        <i/>
        <sz val="10"/>
        <color indexed="30"/>
        <rFont val="Soberana Sans"/>
        <family val="3"/>
      </rPr>
      <t xml:space="preserve">
</t>
    </r>
  </si>
  <si>
    <t>( PEPAP / PPPAP) X 100  (Presupuesto ejercido en Protección de Areas Productivas (PAP) / Presupuesto programado en  Protección de Areas Productivas (PAP) ) x 100</t>
  </si>
  <si>
    <r>
      <t xml:space="preserve">Porcentaje de hectareas con mitigación por riesgo a inundaciones
</t>
    </r>
    <r>
      <rPr>
        <sz val="10"/>
        <rFont val="Soberana Sans"/>
        <family val="2"/>
      </rPr>
      <t xml:space="preserve"> Causa : La meta registrada es de 12831 hectáreas protegidas, debiendo ser de 58065 hectáreas, la meta alcanzada para el indicador fue de 58315 hectáreas protegidas, de tal manera que el porcentaje de cumplimiento de la meta es de 100.43 % real, aunque el registrado en el PASH es de 454.49%. Estas cifras corresponden al 7 de febrero del 2014. Efecto: Se supera la meta Otros Motivos:</t>
    </r>
  </si>
  <si>
    <r>
      <t xml:space="preserve">Porcentaje de habitantes con mitigación por riesgo a inundaciones
</t>
    </r>
    <r>
      <rPr>
        <sz val="10"/>
        <rFont val="Soberana Sans"/>
        <family val="2"/>
      </rPr>
      <t xml:space="preserve"> Causa : Se lograron las metas a pesar de que hubo variaciones presupuestales (reservas de la SHCP) pero se reasignaron recursos a proyectos de menor costo y con mayores beneficios. Entre estos destaca la conservación y rehabilitación del Río Tijuana que beneficia a la población de esta zona con más de 200,000 Habitantes.Datos de cierre presupuestal al 18 de febrero de 2014 Efecto: Se cumplio con la meta. Otros Motivos:Hubo reservas de recursos por parte de la Secretaría de Hacienda y crédito Público, a partir del mes de junio.</t>
    </r>
  </si>
  <si>
    <r>
      <t xml:space="preserve">Porcentaje de obras de infraestructura en construcción
</t>
    </r>
    <r>
      <rPr>
        <sz val="10"/>
        <rFont val="Soberana Sans"/>
        <family val="2"/>
      </rPr>
      <t xml:space="preserve"> Causa : El programa se vio afectado por varias reducciones aplicadas por la Secretaría de Hacienda y Crédito Público y por la emergencia registrada por lluvias extraordinarias presentadas en varios Estados del país. Se presentaron fenómenos meteorológicos que afectaron la ejecución normal en proyectos ubicados en los estados de Oaxaca, Puebla, Veracruz, Sinaloa, Jalisco, Morelos, Coahuila, Chihuahua principalmente y el más afectado el estado de Guerrero por las tormentas Tropicales Ingrid y Manuel. Efecto: Casi se cumplio la meta. Otros Motivos:</t>
    </r>
  </si>
  <si>
    <r>
      <t xml:space="preserve">Porcentaje de Avance Físico de obra en construcción de infraestructura hidráulica para áreas productivas
</t>
    </r>
    <r>
      <rPr>
        <sz val="10"/>
        <rFont val="Soberana Sans"/>
        <family val="2"/>
      </rPr>
      <t xml:space="preserve"> Causa : La meta cargada de 1700 para el porcentaje de avance físico de obra en construcción (que es la suma de los porcentaje de todas las obras (en este caso 17 obras, se obtiene de sumar el 100 % de cada una de ellas por lo que su valor es de 17 * 100 = 1700), es incorrecto pues corresponde a los estados en donde se ejecutaron las obras, siendo su valor real de 85 obras por lo que su valor será de 8500, el número de obras realizadas fue de 85, siendo terminadas por lo que su porcentaje es de 8500, por lo que el cumplimiento de la meta es de 100% real, aunque el registrado en el PASH fue de  500 %, estas cifras son al 7 de febrero de 2014. Efecto: Se cumplio con la meta. Otros Motivos:</t>
    </r>
  </si>
  <si>
    <r>
      <t xml:space="preserve">Porcentaje de Avance Físico de obra en infraestructura hidráulica para centros de población
</t>
    </r>
    <r>
      <rPr>
        <sz val="10"/>
        <rFont val="Soberana Sans"/>
        <family val="2"/>
      </rPr>
      <t xml:space="preserve"> Causa : El programa se vio afectado por varias reducciones aplicadas por la Secretaría de Hacienda y Crédito Público y por la emergencia registrada por lluvias extraordinarias presentadas en varios Estados del país. Se presentaron fenómenos meteorológicos que afectaron la ejecución normal en proyectos ubicados en los estados de Oaxaca, Puebla, Veracruz, Sinaloa, Jalisco, Morelos, Coahuila, Chihuahua principalmente y el más afectado el estado de Guerrero por la tormentas Tropicales Ingrid y Manuel. Efecto: No se pudo Cumplir con la meta. Otros Motivos:</t>
    </r>
  </si>
  <si>
    <r>
      <t xml:space="preserve">Porcentaje de estudios y proyectos ejecutivos realizados
</t>
    </r>
    <r>
      <rPr>
        <sz val="10"/>
        <rFont val="Soberana Sans"/>
        <family val="2"/>
      </rPr>
      <t xml:space="preserve"> Causa : El porcentaje del número de estudios y proyectos ejecutivos realizados fue superior al programado, debido a que hubo suficiencia presupuestal para realizar un mayor número de estudios y proyectos.Estas cifras son al 7 de febrero. Efecto: Se supero la Meta Otros Motivos:</t>
    </r>
  </si>
  <si>
    <r>
      <t xml:space="preserve">Porcentaje de Avance Financiero del presupuesto autorizado para infraestructura hidráulica para centros de población       
</t>
    </r>
    <r>
      <rPr>
        <sz val="10"/>
        <rFont val="Soberana Sans"/>
        <family val="2"/>
      </rPr>
      <t xml:space="preserve"> Causa : Se realizaron trabajos adicionales que están pendientes de pago (pasivos), los cuales se pagarán con cargo al presupuesto 2014, ya que son trabajos que se concluyeron al 31 de diciembre y que de acuerdo con la norma estan generandose las estimaciones.   El programa se vió afectado por varias reducciones aplicadas por la Secretaría de Hacienda y Crédito Público. Adicionalmente debido a la emergencia que se presento en varios estados por lluvias extraordinarias, se tuvieron otras reducciones. Efecto: Se cumplio la Meta modificada. Otros Motivos:</t>
    </r>
  </si>
  <si>
    <r>
      <t xml:space="preserve">Porcentaje de Avance Financiero de obra en construcción de infraestructura hidráulica para áreas productivas.
</t>
    </r>
    <r>
      <rPr>
        <sz val="10"/>
        <rFont val="Soberana Sans"/>
        <family val="2"/>
      </rPr>
      <t xml:space="preserve"> Causa : La meta registrada es de $ 99,000,000.00 de pesos, debiendo ser de $ 347,000,000.00 de pesos,  la meta alcanzada fue de $ 346,821,698.14 de tal manera que el porcentaje de cumplimiento de la meta es de 99.95 % real, aunque el registrado en el PASH es de 335.74%, estas cifras son al 7 de febrero de 2014 del SAI Efecto: Se cumplio la meta. Otros Motivos:</t>
    </r>
  </si>
  <si>
    <t>K131</t>
  </si>
  <si>
    <t>Túnel Emisor Oriente y Central y Planta de Tratamiento Atotonilco</t>
  </si>
  <si>
    <t>3 - Ordenación de Aguas Residuales, Drenaje y Alcantarillado</t>
  </si>
  <si>
    <t>[(aguas residuales del Valle de México tratadas)/(total de aguas residuales del Valle de México)]*100</t>
  </si>
  <si>
    <t>Los habitantes del Valle de México están protegidos de inundaciones con la construcción de la infraestructura hidráulica</t>
  </si>
  <si>
    <r>
      <t>Porcentaje de capacidad de Drenaje del Valle de Mexico</t>
    </r>
    <r>
      <rPr>
        <i/>
        <sz val="10"/>
        <color indexed="30"/>
        <rFont val="Soberana Sans"/>
        <family val="3"/>
      </rPr>
      <t xml:space="preserve">
</t>
    </r>
  </si>
  <si>
    <r>
      <t>Porcentaje de poblacion protegida</t>
    </r>
    <r>
      <rPr>
        <i/>
        <sz val="10"/>
        <color indexed="30"/>
        <rFont val="Soberana Sans"/>
        <family val="3"/>
      </rPr>
      <t xml:space="preserve">
</t>
    </r>
  </si>
  <si>
    <t>[(población protegida en el Valle de México )/(población total del Valle de México)]*100</t>
  </si>
  <si>
    <t>A Túnel Emisor Oriente (TEO) entregado</t>
  </si>
  <si>
    <r>
      <t>Porcentaje de Avance Fisico del Tunel Emisor Oriente</t>
    </r>
    <r>
      <rPr>
        <i/>
        <sz val="10"/>
        <color indexed="30"/>
        <rFont val="Soberana Sans"/>
        <family val="3"/>
      </rPr>
      <t xml:space="preserve">
Indicador Seleccionado</t>
    </r>
  </si>
  <si>
    <t>((Porcentaje de avance de construcción)*(total de construcción)+(porcentaje de proyecto ejecutivo)*(total de proyecto ejecutivo))*0.8 + (¿ (porcentaje de avance de obra o proyecto complementario)*(total de obra o proyecto complementario))*0.2</t>
  </si>
  <si>
    <t>B Planta de Tratamiento de Aguas Residuales (PTAR) Atotonilco entregada</t>
  </si>
  <si>
    <r>
      <t>Porcentaje de Avance Fisico Planta de Tratamiento de Aguas Residuales Atotonilco</t>
    </r>
    <r>
      <rPr>
        <i/>
        <sz val="10"/>
        <color indexed="30"/>
        <rFont val="Soberana Sans"/>
        <family val="3"/>
      </rPr>
      <t xml:space="preserve">
</t>
    </r>
  </si>
  <si>
    <t>{¿[(porcentaje de avance físico de construcción de cada proyecto )*(importe total del construcción de cada proyecto)]} / [¿(importe total del construcción de cada proyecto)]</t>
  </si>
  <si>
    <t>A 1 Revision del tunel emisor oriente</t>
  </si>
  <si>
    <r>
      <t>Porcentaje de capacidad de desalojo del Tunel Emisor Oriente</t>
    </r>
    <r>
      <rPr>
        <i/>
        <sz val="10"/>
        <color indexed="30"/>
        <rFont val="Soberana Sans"/>
        <family val="3"/>
      </rPr>
      <t xml:space="preserve">
</t>
    </r>
  </si>
  <si>
    <t xml:space="preserve">(Flujo de agua en operación/Flujo de agua según el diseño) *100 </t>
  </si>
  <si>
    <t>B 2 Revision de la planta de tratamiento de aguas residuales Atotonilco</t>
  </si>
  <si>
    <r>
      <t>Porcentaje de capacidad de agua tratada de la Planta de Tratamiento de Aguas Residuales Atotonilco</t>
    </r>
    <r>
      <rPr>
        <i/>
        <sz val="10"/>
        <color indexed="30"/>
        <rFont val="Soberana Sans"/>
        <family val="3"/>
      </rPr>
      <t xml:space="preserve">
</t>
    </r>
  </si>
  <si>
    <t>(Flujo de agua tratada en operación/Flujo de agua tratada según el diseño)*100</t>
  </si>
  <si>
    <r>
      <t xml:space="preserve">Porcentaje de cobertura de tratamiento de aguas residuales
</t>
    </r>
    <r>
      <rPr>
        <sz val="10"/>
        <rFont val="Soberana Sans"/>
        <family val="2"/>
      </rPr>
      <t xml:space="preserve"> Causa : ¿El indicador se reporta en ceros debido a la complejidad del proyecto de la PTAR Atotonilco, su capacidad de agua tratada estará disponible una vez que esté completamente construida y en operación. Asimismo, para la MIR 2014 se va a replantear el presente indicador (acorde al avance actual del proyecto) y se van a actualizar los datos del Denominador y Numerador. Efecto: Se tataran 23m3/s de aguas residuales del Valle de México y hasta 42m3/s de aguas conbinadas en época de lluvias 700,000 habitantes del valle del mezquital se beneficiarán directamente y la posibilidad de aprovechar el acuífero para abastecimiento a la población local y del Valle de México Otros Motivos:</t>
    </r>
  </si>
  <si>
    <r>
      <t xml:space="preserve">Porcentaje de capacidad de Drenaje del Valle de Mexico
</t>
    </r>
    <r>
      <rPr>
        <sz val="10"/>
        <rFont val="Soberana Sans"/>
        <family val="2"/>
      </rPr>
      <t xml:space="preserve"> Causa : Desde junio de 2013 ya se encuentra operando el primer tramo del Tunel Emisor Oriente de 10 Km, con una capacidad máxima de desalojo de 40 m3/s.    La capacidad total de 150 m3/s se alcanzará cuando entren en operación los 52.4 Km restantes.  Efecto: Positivo por aumentar la capacidad instalada con la operación del primer tramo del TEO que incorpora un gasto de 40 m3/s. Otros Motivos:</t>
    </r>
  </si>
  <si>
    <r>
      <t xml:space="preserve">Porcentaje de poblacion protegida
</t>
    </r>
    <r>
      <rPr>
        <sz val="10"/>
        <rFont val="Soberana Sans"/>
        <family val="2"/>
      </rPr>
      <t xml:space="preserve"> Causa : Al diseñar la MIR no se planteó adecuadamente el indicador del proyecto, de acuerdo al programa del mismo en el 2013 únicamente era factible que se pusiera en operación el primer tramo de 10 Km de TEO.   En junio de 2013 inició la operación de los 10 Km, beneficiando únicamente a las regiones colindantes a éste tramo, la Delegación Gustavo A. Madero del D.F. y los Municipios Ecatepec de Morelos y Nezahualcoyotl del Estado de México, cuya población es de 4,063,600 de habitantes en el 2013 de acuerdo a la proyección de los municicpios de zonas metropolitanas publicado por CONAPO.    En base a lo anterior, se está modificando el Denominador y Numerador que refiere a la población de las regiones señaladas, en lugar de poner toda la población del Valle de México. Efecto: Positivo debido a que se protegió a un sector de la población contra inundaciones severas en épocas de lluvias. Otros Motivos:</t>
    </r>
  </si>
  <si>
    <r>
      <t xml:space="preserve">Porcentaje de Avance Fisico del Tunel Emisor Oriente
</t>
    </r>
    <r>
      <rPr>
        <sz val="10"/>
        <rFont val="Soberana Sans"/>
        <family val="2"/>
      </rPr>
      <t xml:space="preserve"> Causa : Al diseñar la MIR no se planteó adecuadamente el indicador del proyecto, el avance físico real en la construcción del TEO es del 50.36% al 31 de diciembre de 2013.         El presente indicador realmente refleja el avance financiero, de acuerdo al monto de lo contratado y al monto de lo pagado al cierre del 2013.        Asimismo, el Denominador se modificó debido se incrementó el monto contratado. Efecto: Sin efecto debido a que continúa la construcción del TEO Otros Motivos:</t>
    </r>
  </si>
  <si>
    <r>
      <t xml:space="preserve">Porcentaje de Avance Fisico Planta de Tratamiento de Aguas Residuales Atotonilco
</t>
    </r>
    <r>
      <rPr>
        <sz val="10"/>
        <rFont val="Soberana Sans"/>
        <family val="2"/>
      </rPr>
      <t xml:space="preserve"> Causa : Al diseñar la MIR no se planteó adecuadamente el indicador del proyecto, el avance físico real en la construcción de la PTAR Atotonilco es del 82% al 31 de diciembre de 2013. El presente indicador refleja el avance financiero, de acuerdo al monto de lo contratado y al monto de lo pagado al cierre del 2013.     El Denominador cambió debido a que se incrementó el monto de lo contratado.   Efecto: No existe ningún efecto negativo con relación a estas observaciones expuestas dado que el proyecto continúa en su ejecución. Otros Motivos:</t>
    </r>
  </si>
  <si>
    <r>
      <t xml:space="preserve">Porcentaje de capacidad de desalojo del Tunel Emisor Oriente
</t>
    </r>
    <r>
      <rPr>
        <sz val="10"/>
        <rFont val="Soberana Sans"/>
        <family val="2"/>
      </rPr>
      <t xml:space="preserve"> Causa : Desde junio de 2013 ya se encuentra operando el primer tramo del Tunel Emisor Oriente de 10 Km, con una capacidad máxima de desalojo de 40 m3/s.    La capacidad total de 150 m3/s se alcanzará cuando entren en operación los 52.4 Km restantes.  Efecto: Positivo debido a que se incorporó al primer tramo del TEO que permite desalojar un gasto máximo de 40m3/s Otros Motivos:</t>
    </r>
  </si>
  <si>
    <r>
      <t xml:space="preserve">Porcentaje de capacidad de agua tratada de la Planta de Tratamiento de Aguas Residuales Atotonilco
</t>
    </r>
    <r>
      <rPr>
        <sz val="10"/>
        <rFont val="Soberana Sans"/>
        <family val="2"/>
      </rPr>
      <t xml:space="preserve"> Causa : El indicador se reporta en ceros debido a la complejidad del proyecto de la PTAR Atotonilco, su capacidad de agua tratada estará disponible una vez que esté completamente construida y en operación. Asimismo, para la MIR 2014 se va a replantear el presente indicador (acorde al avance actual del proyecto) y se van a actualizar los datos del Denominador y Numerador. Efecto: No existe ningún efecto negativo con relación a estas observaciones expuestas dado que el proyecto continúa en su ejecución. Otros Motivos:</t>
    </r>
  </si>
  <si>
    <t>S046</t>
  </si>
  <si>
    <t>Programa de Conservación para el Desarrollo Sostenible (PROCODES)</t>
  </si>
  <si>
    <t>F00-Comisión Nacional de Áreas Naturales Protegidas</t>
  </si>
  <si>
    <t>Perspectiva de Género</t>
  </si>
  <si>
    <t>5 - Protección de la Diversidad Biológica y del Paisaje</t>
  </si>
  <si>
    <t>8 - Conservación de la biodiversidad en ecosistemas saludables</t>
  </si>
  <si>
    <t>Contribuir a la conservación de los ecosistemas y su biodiversidad a través del uso y aprovechamiento sustentable en las Áreas Protegidas, zonas de influencia y otras modalidades de conservación.</t>
  </si>
  <si>
    <r>
      <t>Porcentaje de la superficie de las Áreas Naturales Protegidas, zoas de influencia y otras modalidades para la conservación conservada mediante el uso y aprovechamiento sustentable .</t>
    </r>
    <r>
      <rPr>
        <i/>
        <sz val="10"/>
        <color indexed="30"/>
        <rFont val="Soberana Sans"/>
        <family val="3"/>
      </rPr>
      <t xml:space="preserve">
</t>
    </r>
  </si>
  <si>
    <t>(Superficie en las Áreas Naturales Protegidas, zonas de influencia y otras modalidades de conservación, con proyectos o prácticas sustentables/Superficie de Área Natural Protegida, zonas de influencia y otras modalidades de conservación, suceptible de manejo sustentable) X 100</t>
  </si>
  <si>
    <t>Las localidas asentadas en Areas Naturales Protegidas, zonas de influencia y otras modalidades de conservación se fortalecen y adquieren capacidades locales para realizar actividades de conservación de ecosistemas y su biodiversidad.</t>
  </si>
  <si>
    <r>
      <t>Porcentaje de localidades que adquirieron habilidades y conocimientos para realizar actividades de conservación de ecosistemas y su biodiversidad en Áreas Naturales Protegidas y zonas de influencia y otras modalidades de conservación.</t>
    </r>
    <r>
      <rPr>
        <i/>
        <sz val="10"/>
        <color indexed="30"/>
        <rFont val="Soberana Sans"/>
        <family val="3"/>
      </rPr>
      <t xml:space="preserve">
Indicador Seleccionado</t>
    </r>
  </si>
  <si>
    <t>(Número de localidades que reciben apoyos económicos para la realización de estudios técnicos y/o proyectos y/o cursos de capacitación / número total de localidades que solicitaron apoyos para la realización de estudios técnicos y/o proyectos y/o cursos de capacitación) X 100</t>
  </si>
  <si>
    <t>A Apoyos económicos otorgados a las localidades a través de brigadas de contingencia ambiental para prevenir, mitigar y restaurar situaciones de riesgo derivadas de actividades humanas o fenómenos naturales que pueden poner en peligro la integridad de uno o varios ecosistemas de las Áreas Naturales Protegidas, zonas de influencia y otras modalidades para la conservación.</t>
  </si>
  <si>
    <r>
      <t>Porcentaje de recursos ejercidos por las brigadas de contingencia ambiental.</t>
    </r>
    <r>
      <rPr>
        <i/>
        <sz val="10"/>
        <color indexed="30"/>
        <rFont val="Soberana Sans"/>
        <family val="3"/>
      </rPr>
      <t xml:space="preserve">
</t>
    </r>
  </si>
  <si>
    <t>(Monto total de recursos ejercidos del Programa de Conservación para el Desarrollo Sostenible en brigadas de contingencia ambiental/ Monto total de recursos aprobado al Programa de Conservación para el Desarrollo Sostenible) x 100</t>
  </si>
  <si>
    <t>B Apoyos económicos otorgados a las localidades de las Áreas Naturales Protegidas, zonas de influencia y otras modalidades de conservación, por parte del Programa de Conservación para el Desarrollo Sostenible para la realización de estudios técnicos.</t>
  </si>
  <si>
    <r>
      <t>Porcentaje de localidades que reciben apoyos económicos para realizar estudios técnicos.</t>
    </r>
    <r>
      <rPr>
        <i/>
        <sz val="10"/>
        <color indexed="30"/>
        <rFont val="Soberana Sans"/>
        <family val="3"/>
      </rPr>
      <t xml:space="preserve">
</t>
    </r>
  </si>
  <si>
    <t>(Número de localidades que reciben apoyos económicos para la realización de estudios técnicos/ número total de localidades que solicitaron apoyos para la realización de estudios técnicos) X 100</t>
  </si>
  <si>
    <t>C Apoyos económicos otorgados a las localidades de las Áreas Naturales Protegidas, zonas de influencia y otras modalidades de conservación, por parte del Programa de Conservación para el Desarrollo Sostenible para la realización de cursos de capacitación.</t>
  </si>
  <si>
    <r>
      <t>Porcentaje de localidades que reciben apoyos económicos para realizar cursos de capacitación</t>
    </r>
    <r>
      <rPr>
        <i/>
        <sz val="10"/>
        <color indexed="30"/>
        <rFont val="Soberana Sans"/>
        <family val="3"/>
      </rPr>
      <t xml:space="preserve">
</t>
    </r>
  </si>
  <si>
    <t>(Número de localidades que reciben apoyos económicos para la realización de cursos de capacitación/ número total de localidades que solicitaron apoyos para la realización de cursos de capacitación) X 100</t>
  </si>
  <si>
    <t>D Apoyos económicos otorgados a las localidades de las Áreas Naturales Protegidas, zonas de influencia y otras modalidades de conservación, por parte del Programa de Conservación para el Desarrollo Sostenible para la realización de proyectos.</t>
  </si>
  <si>
    <r>
      <t>Porcentaje de localidades que reciben apoyos económicos para realizar proyectos</t>
    </r>
    <r>
      <rPr>
        <i/>
        <sz val="10"/>
        <color indexed="30"/>
        <rFont val="Soberana Sans"/>
        <family val="3"/>
      </rPr>
      <t xml:space="preserve">
</t>
    </r>
  </si>
  <si>
    <t>(Número de localidades que reciben apoyos económicos para la realización de proyectos comunitarios/ número total de localidades que solicitaron apoyos para la realización de proyectos) X 100</t>
  </si>
  <si>
    <r>
      <t>Porcentaje de localidades que reciben apoyos económicos para realizar proyectos y cursos de capacitación con participación de mujeres</t>
    </r>
    <r>
      <rPr>
        <i/>
        <sz val="10"/>
        <color indexed="30"/>
        <rFont val="Soberana Sans"/>
        <family val="3"/>
      </rPr>
      <t xml:space="preserve">
</t>
    </r>
  </si>
  <si>
    <t>(Número de localidades que reciben apoyos económicos para la realización de proyectos y cursos de capacitación con participación de mujeres/ número total de localidades que solicitaron apoyos para la realización de proyectos y cursos de capacitación) X 100</t>
  </si>
  <si>
    <r>
      <t>Porcentaje de localidades que reciben apoyos económicos para realizar proyectos y cursos de capacitación con participación de indígenas</t>
    </r>
    <r>
      <rPr>
        <i/>
        <sz val="10"/>
        <color indexed="30"/>
        <rFont val="Soberana Sans"/>
        <family val="3"/>
      </rPr>
      <t xml:space="preserve">
</t>
    </r>
  </si>
  <si>
    <t>(Número de localidades que reciben apoyos económicos para la realización de proyectos y cursos de capacitación con participación de indígenas/ número total de localidades que solicitaron apoyos para la realización de proyectos y cursos de capacitación) X 100</t>
  </si>
  <si>
    <t>A 1 Suscripción de convenios de Brigadas comunitarias de contingencia ambiental</t>
  </si>
  <si>
    <r>
      <t>Convenios de concertación suscritos de brigadas comunitarias de contingencia ambiental.</t>
    </r>
    <r>
      <rPr>
        <i/>
        <sz val="10"/>
        <color indexed="30"/>
        <rFont val="Soberana Sans"/>
        <family val="3"/>
      </rPr>
      <t xml:space="preserve">
</t>
    </r>
  </si>
  <si>
    <t xml:space="preserve">Número total de convenios de concertación suscritos de brigadas comunitarias de contingencia ambiental conformadas </t>
  </si>
  <si>
    <t>Convenio</t>
  </si>
  <si>
    <t>N/A</t>
  </si>
  <si>
    <t>B 2 Suscripción de convenios de concertación suscritos para realizar estudios técnicos</t>
  </si>
  <si>
    <r>
      <t>Convenios de concertación suscritos de Estudios Técnicos</t>
    </r>
    <r>
      <rPr>
        <i/>
        <sz val="10"/>
        <color indexed="30"/>
        <rFont val="Soberana Sans"/>
        <family val="3"/>
      </rPr>
      <t xml:space="preserve">
</t>
    </r>
  </si>
  <si>
    <t>Numero total de convenios de concertacion para realizar estudios tecnicos firmados</t>
  </si>
  <si>
    <t>C 3 Suscripción de convenios de concertación de Cursos de Capacitación</t>
  </si>
  <si>
    <r>
      <t>Convenios de concertación suscritos para realizar Cursos de Capacitación.</t>
    </r>
    <r>
      <rPr>
        <i/>
        <sz val="10"/>
        <color indexed="30"/>
        <rFont val="Soberana Sans"/>
        <family val="3"/>
      </rPr>
      <t xml:space="preserve">
</t>
    </r>
  </si>
  <si>
    <t>Número total de convenios de concertación suscritos para realizar Cursos de Capacitación.</t>
  </si>
  <si>
    <t>D 4 Inversión del Programa de Conservación para el Desarrollo Sostenible otorgada a las mujeres que participan en los cursos de capacitación y proyectos comunitarios en las localidades de las Áreas Naturales Protegidas, zonas de influencia y otras modalidades de conservación.</t>
  </si>
  <si>
    <r>
      <t xml:space="preserve">Procentaje de recursos ejercidos en proyctos y cursos de capacitación, del Programa de Conservación para el Desarrollo Sostenible, en donde existe participación de mujeres.  </t>
    </r>
    <r>
      <rPr>
        <i/>
        <sz val="10"/>
        <color indexed="30"/>
        <rFont val="Soberana Sans"/>
        <family val="3"/>
      </rPr>
      <t xml:space="preserve">
</t>
    </r>
  </si>
  <si>
    <t xml:space="preserve">(Monto total de recursos ejercidos del Programa de Conservación para el Desarrollo Sostenible en proyectos y cursos de capacitación donde existe participación de mujeres / Monto total de recursos autorizados al Programa de Conservación para el Desarrollo Sostenible) x100  </t>
  </si>
  <si>
    <t>Gestión-Eficiencia-Trimestral</t>
  </si>
  <si>
    <t>D 5 Inversión del Programa de Conservación para el Desarrollo Sostenible otorgada a los indígenas que participan en los cursos de capacitación y proyectos comunitarios en las localidades de las Áreas Naturales Protegidas, zonas de influencia y otras modalidades de conservación.</t>
  </si>
  <si>
    <r>
      <t xml:space="preserve">Procentaje de recursos ejercidos en proyctos y cursos de capacitación, del Programa de Conservación para el Desarrollo Sostenible, en donde existe participación de indígenas  </t>
    </r>
    <r>
      <rPr>
        <i/>
        <sz val="10"/>
        <color indexed="30"/>
        <rFont val="Soberana Sans"/>
        <family val="3"/>
      </rPr>
      <t xml:space="preserve">
</t>
    </r>
  </si>
  <si>
    <t>(Monto total de recursos ejercidos del Programa de Conservación para el Desarrollo Sostenible en proyectos y cursos de capacitación donde existe participación de indígenas / Monto total de recursos asignados al Programa de Conservación para el Desarrollo Sostenible) x 100</t>
  </si>
  <si>
    <t>D 6 Suscripción de convenios de concertación de Proyectos Comunitarios</t>
  </si>
  <si>
    <r>
      <t>Convenios de concertación suscritos para realizar Proyectos Comunitarios</t>
    </r>
    <r>
      <rPr>
        <i/>
        <sz val="10"/>
        <color indexed="30"/>
        <rFont val="Soberana Sans"/>
        <family val="3"/>
      </rPr>
      <t xml:space="preserve">
</t>
    </r>
  </si>
  <si>
    <t>Número total de convenios de concertación suscritos para realizar Proyectos Comunitarios</t>
  </si>
  <si>
    <r>
      <t xml:space="preserve">Porcentaje de la superficie de las Áreas Naturales Protegidas, zoas de influencia y otras modalidades para la conservación conservada mediante el uso y aprovechamiento sustentable .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programaron 250,000 hectáreas con proyectos o prácticas sustentables con respecto del total de la superficie de las Áreas Naturales Protegidas, zonas de influencia y otras modalidades de conservación, susceptible de manejo sustentable. Es importante señalar que si bien en el ejercicio fiscal 2012, el PROCODES apoyó un total de 806,442.26 ha, con proyectos de conservación y restauración principalmente, esto se debió a que se aprobaron dos proyectos que sumaban más de 600,000 ha, entre ellos. De acuerdo a lo anterior, la programación para el ejercicio 2013 se realizó sin tomar en cuenta estos dos proyectos atípicos, por su extensión, en la ejecución del multicitado Programa.  En virtud de lo anterior, el PROCODES en el ejercicio 2013, de acuerdo a las solicitudes de apoyo aprobadas, en apego a su normatividad, y a las acciones que se realizaron con las brigadas de contingencia ambiental, apoyó un total de 535,012.35. Dentro de los proyectos de conservación y restauración destacan los de plantaciones forestales, reforestación, saneamiento de ecosistemas, cultivos de cobertera y monitoreo de especies.   Efecto:  Otros Motivos:</t>
    </r>
  </si>
  <si>
    <r>
      <t xml:space="preserve">Porcentaje de localidades que adquirieron habilidades y conocimientos para realizar actividades de conservación de ecosistemas y su biodiversidad en Áreas Naturales Protegidas y zonas de influencia y otras modalidades de conservación.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2,417 localidades solicitarían apoyos para la ejecución de estudios técnicos, proyectos y cursos de capacitación, con la finalidad de adquirir habilidades y conocimientos para realizar actividades de conservación de ecosistemas y su biodiversidad, y que de esas el 55.19% serían apoyadas. Sin embargo en el 2013 se recibieron solicitudes de 2,230 localidades, es decir 7.73 puntos porcentuales menos que lo programado.    Efecto:  Otros Motivos:</t>
    </r>
  </si>
  <si>
    <r>
      <t xml:space="preserve">Porcentaje de recursos ejercidos por las brigadas de contingencia ambiental.
</t>
    </r>
    <r>
      <rPr>
        <sz val="10"/>
        <rFont val="Soberana Sans"/>
        <family val="2"/>
      </rPr>
      <t xml:space="preserve"> Causa : En apego al numeral 3.4.2. de las Reglas de Operación del PROCODES 2013 la CONANP destinó el 10.8% de los apoyos de este programa para la atención de contingencias ambientales las cuales pueden ser generadas por incendios forestales o fenómenos meteorológicos como huracanes e inundaciones. En ese sentido se programó que para el ejercicio fiscal 2013 se ejercerían 19.80 millones de pesos (9.11%) en contingencias ambientales con respecto al monto total autorizado al PROCODES de 217.36 millones de pesos autorizado. El monto ejercido al cuarto trimestre de 2013 fue de 24.28 millones de pesos, derivado la ampliación de recursos que tuvo el PROCODES por un monto total de 12.64 millones de pesos, quedando su monto total autorizado, para el ejercicio 2013, en 230.01 millones de pesos. cabe aclarar que la meta aprobada debe ser la misma que la meta modificada. Efecto:  Otros Motivos:</t>
    </r>
  </si>
  <si>
    <r>
      <t xml:space="preserve">Porcentaje de localidades que reciben apoyos económicos para realizar estudios técnicos.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el 46.69% serían apoyadas para la ejecución de estudios técnicos. Sin embargo en virtud de lo expuesto en el párrafo anterior el porcentaje apoyado de localidades para la ejecución de estudios es de 45.99%.   Cabe aclarar que la meta aprobada debe ser la misma que la meta modificada. Efecto:  Otros Motivos:</t>
    </r>
  </si>
  <si>
    <r>
      <t xml:space="preserve">Porcentaje de localidades que reciben apoyos económicos para realizar cursos de capacitación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513 localidades solicitarían apoyos para la ejecución de cursos de capacitación, y que de esas el 54% serían apoyadas. Sin embargo en virtud de lo expuesto en el párrafo anterior el porcentaje apoyado de localidades para la ejecución de cursos de capacitación es de 48.73%.   Cabe señalar que la meta aprobada debe ser la misma que la meta modificada. Efecto:  Otros Motivos:</t>
    </r>
  </si>
  <si>
    <r>
      <t xml:space="preserve">Porcentaje de localidades que reciben apoyos económicos para realizar proyectos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2,273 localidades solicitarían apoyos para la ejecución de cursos de capacitación, y que de esas el 53.50% serían apoyadas. Sin embargo en virtud de lo expuesto en el párrafo anterior el porcentaje apoyado de localidades para la ejecución de proyectos es de 53.59%.  Cabe aclarar que la meta aprobada debe ser la misma que la meta modificada. Efecto:  Otros Motivos:</t>
    </r>
  </si>
  <si>
    <r>
      <t xml:space="preserve">Porcentaje de localidades que reciben apoyos económicos para realizar proyectos y cursos de capacitación con participación de mujeres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2,700 localidades solicitarían apoyos para la ejecución de proyectos y cursos de capacitación, y que de esas el 44.59% serían apoyadas. Sin embargo en virtud de lo expuesto en el párrafo anterior el porcentaje apoyado de localidades para la ejecución de proyectos y cursos de capacitación con participación de mujeres es de 44.15%.   Cabe señalar que la meta aprobada debe ser la misma que la meta modificada. Efecto:  Otros Motivos:</t>
    </r>
  </si>
  <si>
    <r>
      <t xml:space="preserve">Porcentaje de localidades que reciben apoyos económicos para realizar proyectos y cursos de capacitación con participación de indígenas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2,700 localidades solicitarían apoyos para la ejecución de proyectos y cursos de capacitación  y que de esas el 16% serían apoyadas. Sin embargo en virtud de lo expuesto en el párrafo anterior el porcentaje apoyado de localidades para la ejecución de proyectos y cursos de capacitación con participación de indígenas es de 14.63%.    Cabe aclarar que la meta aprobada debe ser la misma que la meta modificada. Efecto:  Otros Motivos:</t>
    </r>
  </si>
  <si>
    <r>
      <t xml:space="preserve">Convenios de concertación suscritos de brigadas comunitarias de contingencia ambiental.
</t>
    </r>
    <r>
      <rPr>
        <sz val="10"/>
        <rFont val="Soberana Sans"/>
        <family val="2"/>
      </rPr>
      <t xml:space="preserve"> Causa : En apego al numeral 3.4.2. de las Reglas de Operación del PROCODES 2013 la CONANP destinó el 10.8% de los apoyos de este programa para la atención de contingencias ambientales las cuales pueden ser generadas por incendios forestales o fenómenos meteorológicos como huracanes e inundaciones. En ese sentido se programó que para el ejercicio fiscal 2013, con base en el ejercicio 2012, se firmarían 85 convenios de concertación de brigadas de contingencias ambiental. Sin embargo, de acuerdo a las necesidades para la atención de contingencias ambientales en las Regiones Prioritarias, y en apego a la normatividad del PROCODES, las Direcciones Regionales aprobaron la activación de 112 brigadas de contingencia ambiental. Asimismo, es importante señalar que el mencionado Programa tuvo una ampliación de recursos por un monto total de 12.64 millones de pesos. Cabe señalar que la meta aprobada debe ser la misma que la meta modificada. Efecto:  Otros Motivos:</t>
    </r>
  </si>
  <si>
    <r>
      <t xml:space="preserve">Convenios de concertación suscritos de Estudios Técnicos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se suscribirían 162 convenios de concertación de estudios técnico. Sin embargo en virtud de lo expuesto en el párrafo anterior, el número de convenios de concertación de estudios técnicos suscritos, con respecto a lo programado en el ejercicio fiscal 2013, es de 151. Cabe aclarar que la meta aprobada debe ser la misma que la meta modificada. Efecto:  Otros Motivos:</t>
    </r>
  </si>
  <si>
    <r>
      <t xml:space="preserve">Convenios de concertación suscritos para realizar Cursos de Capacitación.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se suscribirían 376 convenios de concertación de cursos de capacitación. Sin embargo en virtud de lo expuesto en el párrafo anterior, el número de convenios de concertación para cursos de capacitación suscritos, con respecto a lo programado en el ejercicio fiscal 2013, es de 316. Cabe aclarar que la meta aprobada debe ser la misma que la meta modificada. Efecto:  Otros Motivos:</t>
    </r>
  </si>
  <si>
    <r>
      <t xml:space="preserve">Procentaje de recursos ejercidos en proyctos y cursos de capacitación, del Programa de Conservación para el Desarrollo Sostenible, en donde existe participación de mujeres.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se ejercerían 153.60 millones de pesos en proyectos y cursos de capacitación con participación de mujeres (70.67%). Sin embargo en virtud de lo expuesto en el párrafo anterior y a que el PROCODES tuvo una ampliación presupuestal por un monto total de 12.64 millones de pesos, se superó la meta programada.  Cabe señalar que la meta aprobada debe ser la misma que la meta modificada. Efecto:  Otros Motivos:</t>
    </r>
  </si>
  <si>
    <r>
      <t xml:space="preserve">Procentaje de recursos ejercidos en proyctos y cursos de capacitación, del Programa de Conservación para el Desarrollo Sostenible, en donde existe participación de indígenas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se ejercerían 46.27 millones de pesos en proyectos y cursos de capacitación con participación de indígenas (21.29%). Sin embargo en virtud de lo expuesto en el párrafo anterior, y a que el PROCODES tuvo una ampliación presupuestal por un monto total de 12.64 millones de pesos, se superó la meta programada. Cabe señalar que la meta aprobada debe ser la misma que la meta modificada. Efecto:  Otros Motivos:</t>
    </r>
  </si>
  <si>
    <r>
      <t xml:space="preserve">Convenios de concertación suscritos para realizar Proyectos Comunitarios
</t>
    </r>
    <r>
      <rPr>
        <sz val="10"/>
        <rFont val="Soberana Sans"/>
        <family val="2"/>
      </rPr>
      <t xml:space="preserve"> Causa : El PROCODES es un Programa de convocatoria abierta que en apego al numeral 4.1 de sus Reglas de Operación (RO) publica en un diario de mayor circulación su convocatoria para acceder a sus apoyos. A partir de la publicación de la referida convocatoria las personas interesadas presentan sus solicitudes de apoyo a la CONANP debiendo cumplir además con los requisitos establecidos en el numeral 3.3.1. de las citadas RO. La CONANP dictamina técnica y económicamente el total de solicitudes recibidas, de acuerdo a los criterios establecidos en el numeral 3.3.2.2. de las mencionadas RO.      En ese sentido, con base a un análisis histórico del PROCODES, para el ejercicio 2013 se programó que se suscribirían 2050 convenios de concertación de proyectos. Sin embargo en virtud de lo expuesto en el párrafo anterior número de convenios de concertación de proyectos suscritos es de 1,973.  cabe aclarar que la meta aprobada debe ser la misma que la meta modificada. Efecto:  Otros Motivos:</t>
    </r>
  </si>
  <si>
    <t>S071</t>
  </si>
  <si>
    <t>Programa de Empleo Temporal (PET)</t>
  </si>
  <si>
    <t>413-Dirección General de Política Ambiental e Integración Regional y Sectorial</t>
  </si>
  <si>
    <t>6 - Otros de Protección Ambiental</t>
  </si>
  <si>
    <t>Contribuir a dismimuir la pobreza y disminuir la brecha de desigualdad social mediante la estabilización del ingreso de la población objetivo en el medio rural.</t>
  </si>
  <si>
    <r>
      <t>Indice de Percepción del Impacto Socio - Ambiental del Programa</t>
    </r>
    <r>
      <rPr>
        <i/>
        <sz val="10"/>
        <color indexed="30"/>
        <rFont val="Soberana Sans"/>
        <family val="3"/>
      </rPr>
      <t xml:space="preserve">
</t>
    </r>
  </si>
  <si>
    <t>Indice de Percepción del Impacto Socio - Ambiental del Programa=( 0.5)*(Valor Indicador de percepción impacto sobre el Ingreso) + ( 0.5)*(Valor Indicador de percepción del impacto ambiental de las obras)</t>
  </si>
  <si>
    <t>Indice de satisfacción</t>
  </si>
  <si>
    <t>La población rural mayor de 16 años temporalmente desocupada obtiene un ingreso temporal para afrontar los efectos de una emergencia natural, económica o de baja demanda laboral</t>
  </si>
  <si>
    <r>
      <t>Linea de bienestar minimo</t>
    </r>
    <r>
      <rPr>
        <i/>
        <sz val="10"/>
        <color indexed="30"/>
        <rFont val="Soberana Sans"/>
        <family val="3"/>
      </rPr>
      <t xml:space="preserve">
</t>
    </r>
  </si>
  <si>
    <t>ingreso promedio mensual de los beneficiarios en el periodo de participación en el programa / costo canasta básica no alimentaria mensual rural per  cápita</t>
  </si>
  <si>
    <t>Promedio</t>
  </si>
  <si>
    <t>Estratégico-Eficiencia-Anual</t>
  </si>
  <si>
    <t>A Jornales entregados a beneficiarios.</t>
  </si>
  <si>
    <r>
      <t>Jornales generados</t>
    </r>
    <r>
      <rPr>
        <i/>
        <sz val="10"/>
        <color indexed="30"/>
        <rFont val="Soberana Sans"/>
        <family val="3"/>
      </rPr>
      <t xml:space="preserve">
Indicador Seleccionado</t>
    </r>
  </si>
  <si>
    <t xml:space="preserve">No de jornales generados </t>
  </si>
  <si>
    <t>Jornal</t>
  </si>
  <si>
    <t>Estratégico-Eficiencia-Trimestral</t>
  </si>
  <si>
    <t>B Proyectosejecutados.</t>
  </si>
  <si>
    <r>
      <t>Porcentaje de proyectos en ejecucion</t>
    </r>
    <r>
      <rPr>
        <i/>
        <sz val="10"/>
        <color indexed="30"/>
        <rFont val="Soberana Sans"/>
        <family val="3"/>
      </rPr>
      <t xml:space="preserve">
</t>
    </r>
  </si>
  <si>
    <t>(Numero de obras en ejecución / Número de obras programadas) * 100</t>
  </si>
  <si>
    <t>Gestión-Eficiencia-Semestral</t>
  </si>
  <si>
    <t>A 1 Emisión de oficios de autorización de proyectos</t>
  </si>
  <si>
    <r>
      <t>Porcentaje de oficios emitidos</t>
    </r>
    <r>
      <rPr>
        <i/>
        <sz val="10"/>
        <color indexed="30"/>
        <rFont val="Soberana Sans"/>
        <family val="3"/>
      </rPr>
      <t xml:space="preserve">
</t>
    </r>
  </si>
  <si>
    <t>(Número de oficios emitidos/Número de proyectos autorizados)*100</t>
  </si>
  <si>
    <t>B 2 Transferencia de recursos financieros a las unidades ejecutoras del Programa</t>
  </si>
  <si>
    <r>
      <t>Porcentaje de recursos transferidos a las unidades ejecutoras</t>
    </r>
    <r>
      <rPr>
        <i/>
        <sz val="10"/>
        <color indexed="30"/>
        <rFont val="Soberana Sans"/>
        <family val="3"/>
      </rPr>
      <t xml:space="preserve">
</t>
    </r>
  </si>
  <si>
    <t>(Monto total de recursos transferidos a las unidades ejecutoras/total de recursos autorizados)*100</t>
  </si>
  <si>
    <t>Gestión-Eficacia-Bimestral</t>
  </si>
  <si>
    <r>
      <t xml:space="preserve">Indice de Percepción del Impacto Socio - Ambiental del Programa
</t>
    </r>
    <r>
      <rPr>
        <sz val="10"/>
        <rFont val="Soberana Sans"/>
        <family val="2"/>
      </rPr>
      <t xml:space="preserve"> Causa : Se proporcionó  mayor información a  los beneficiarios respecto al beneficio ambiental de las obras y acciones realizadas con el Programa de Empleo Temporal Efecto: Hubo un mayor conocimiento y conciencia por parte de los beneficiarios de los beneficios del programa y de las acciones que realizaron. Por lo anterior el índice de percepción se superó en un 12.5 por cierto. Otros Motivos:</t>
    </r>
  </si>
  <si>
    <r>
      <t xml:space="preserve">Linea de bienestar minimo
</t>
    </r>
    <r>
      <rPr>
        <sz val="10"/>
        <rFont val="Soberana Sans"/>
        <family val="2"/>
      </rPr>
      <t xml:space="preserve"> Causa : se llevaron a cabo las acciones conforme a lo programado. Efecto: Se cumplió al 100% la meta programada Otros Motivos:</t>
    </r>
  </si>
  <si>
    <r>
      <t xml:space="preserve">Jornales generados
</t>
    </r>
    <r>
      <rPr>
        <sz val="10"/>
        <rFont val="Soberana Sans"/>
        <family val="2"/>
      </rPr>
      <t xml:space="preserve"> Causa : Hubo una ampliación presupuestal en el último trimestre del año para atender a los estados que fueron afectados por los fenómenos hidrometeorologicos Manuel e Ingrid Efecto: Hubo mayores recursos lo que permitió generar mayor numero de jornales Otros Motivos:</t>
    </r>
  </si>
  <si>
    <r>
      <t xml:space="preserve">Porcentaje de proyectos en ejecucion
</t>
    </r>
    <r>
      <rPr>
        <sz val="10"/>
        <rFont val="Soberana Sans"/>
        <family val="2"/>
      </rPr>
      <t xml:space="preserve"> Causa : Hubo un mayor a la ejecución de los proyectos, atendiendo los requerimientos de los ejecutores. Efecto: Se superó la meta en un 24.8 por ciento, porque se llevaron a cabo todos los proyectos programados. Otros Motivos:</t>
    </r>
  </si>
  <si>
    <r>
      <t xml:space="preserve">Porcentaje de oficios emitidos
</t>
    </r>
    <r>
      <rPr>
        <sz val="10"/>
        <rFont val="Soberana Sans"/>
        <family val="2"/>
      </rPr>
      <t xml:space="preserve"> Causa : Se realizaron las acciones conforme a lo programado Efecto: Se alcanzó la meta programada Otros Motivos:</t>
    </r>
  </si>
  <si>
    <r>
      <t xml:space="preserve">Porcentaje de recursos transferidos a las unidades ejecutoras
</t>
    </r>
    <r>
      <rPr>
        <sz val="10"/>
        <rFont val="Soberana Sans"/>
        <family val="2"/>
      </rPr>
      <t xml:space="preserve"> Causa : Se realizaron las acciones conforme a lo programado Efecto: Se alcanzó la meta programada Otros Motivos:</t>
    </r>
  </si>
  <si>
    <t>S074</t>
  </si>
  <si>
    <t>Programa de Agua Potable, Alcantarillado y Saneamiento en Zonas Urbanas</t>
  </si>
  <si>
    <t xml:space="preserve">Contribuir a incrementar la cobertura y calidad de los servicios de agua potable en zonas urbanas del país.                    </t>
  </si>
  <si>
    <r>
      <t>Porcentaje de Cobertura de Agua Potable en Zonas Urbanas</t>
    </r>
    <r>
      <rPr>
        <i/>
        <sz val="10"/>
        <color indexed="30"/>
        <rFont val="Soberana Sans"/>
        <family val="3"/>
      </rPr>
      <t xml:space="preserve">
</t>
    </r>
  </si>
  <si>
    <t xml:space="preserve">(Habitantes de zonas urbanas con servicio de agua potable / Total de habitantes en zonas urbanas) X 100  </t>
  </si>
  <si>
    <t xml:space="preserve">Población en zonas urbanas dotada con mejores servicios de agua potable y alcantarillado.                    </t>
  </si>
  <si>
    <r>
      <t>Tasa de variación de la población en zonas urbanas que cuenta por primera vez con el servicio formal de agua potable.</t>
    </r>
    <r>
      <rPr>
        <i/>
        <sz val="10"/>
        <color indexed="30"/>
        <rFont val="Soberana Sans"/>
        <family val="3"/>
      </rPr>
      <t xml:space="preserve">
Indicador Seleccionado</t>
    </r>
  </si>
  <si>
    <t>(Habitantes dotados por primera vez con servicio formal de agua potable con el programa en el año t / total de habitantes de zonas urbanas en el año base) X 100</t>
  </si>
  <si>
    <r>
      <t xml:space="preserve">Tasa de variación de la población en zonas urbanas que cuenta por primera vez con el servicio formal de alcantarillado. </t>
    </r>
    <r>
      <rPr>
        <i/>
        <sz val="10"/>
        <color indexed="30"/>
        <rFont val="Soberana Sans"/>
        <family val="3"/>
      </rPr>
      <t xml:space="preserve">
</t>
    </r>
  </si>
  <si>
    <t xml:space="preserve">(Habitantes dotados por primera vez con servicio formal de alcantarilladlo con el programa en el año t / total de habitantes de zonas urbanas en el año base) X 100  </t>
  </si>
  <si>
    <t xml:space="preserve">A Incremento de caudal de agua residual a tratar.                    </t>
  </si>
  <si>
    <r>
      <t xml:space="preserve">Porcentaje de agua residual a tratada. </t>
    </r>
    <r>
      <rPr>
        <i/>
        <sz val="10"/>
        <color indexed="30"/>
        <rFont val="Soberana Sans"/>
        <family val="3"/>
      </rPr>
      <t xml:space="preserve">
</t>
    </r>
  </si>
  <si>
    <t xml:space="preserve">(Caudal tratado con el programa / caudal a tratar con el programa en el sexenio) X 100  </t>
  </si>
  <si>
    <t>Gestión-Eficacia-Anual</t>
  </si>
  <si>
    <t>B Obras de agua potable ejecutadas</t>
  </si>
  <si>
    <r>
      <t>Porcentaje de obras de agua potable terminadas</t>
    </r>
    <r>
      <rPr>
        <i/>
        <sz val="10"/>
        <color indexed="30"/>
        <rFont val="Soberana Sans"/>
        <family val="3"/>
      </rPr>
      <t xml:space="preserve">
</t>
    </r>
  </si>
  <si>
    <t>(obras de agua potable terminadas/obras de agua potable programadas)*100</t>
  </si>
  <si>
    <t>C Obras ejecutadas de alcantarillado</t>
  </si>
  <si>
    <r>
      <t>Porcentaje de obras de alcantarillado terminadas</t>
    </r>
    <r>
      <rPr>
        <i/>
        <sz val="10"/>
        <color indexed="30"/>
        <rFont val="Soberana Sans"/>
        <family val="3"/>
      </rPr>
      <t xml:space="preserve">
</t>
    </r>
  </si>
  <si>
    <t xml:space="preserve">(Obras de alcantarillado terminadas / obras de alcantarillado programadas)*100  </t>
  </si>
  <si>
    <t xml:space="preserve">A 1 Integración de la información del cierre de ejercicio, (El cual es transversal a todos los componentes).                    </t>
  </si>
  <si>
    <r>
      <t>Porcentaje de informes de cierre de ejercicio de entidades federativas integrados.</t>
    </r>
    <r>
      <rPr>
        <i/>
        <sz val="10"/>
        <color indexed="30"/>
        <rFont val="Soberana Sans"/>
        <family val="3"/>
      </rPr>
      <t xml:space="preserve">
</t>
    </r>
  </si>
  <si>
    <t xml:space="preserve">(Informes de cierre preliminar del ejercicio presupuestal de entidades federativas / Número  de entidades federativas participantes en el programa ) X 100  </t>
  </si>
  <si>
    <t xml:space="preserve">A 2  Integración del programa operativo anual, (El cual es transversal a todos los componentes).                    </t>
  </si>
  <si>
    <r>
      <t xml:space="preserve">Porcentaje de Entidades Federativas con Anexos de ejecución y técnicos formalizados </t>
    </r>
    <r>
      <rPr>
        <i/>
        <sz val="10"/>
        <color indexed="30"/>
        <rFont val="Soberana Sans"/>
        <family val="3"/>
      </rPr>
      <t xml:space="preserve">
</t>
    </r>
  </si>
  <si>
    <t xml:space="preserve">(Entidades Federativas con anexos de ejecución y técnicos formalizados /  Entidades Federativas programadas para formalizar anexos de ejecución y técnicos en el año) X 100  </t>
  </si>
  <si>
    <t xml:space="preserve">A 3 Liberación de recursos comprometidos en anexos de ejecución y técnicos, (El cual es transversal a todos los componentes).                    </t>
  </si>
  <si>
    <r>
      <t>Porcentaje de recursos transferidos disponibles</t>
    </r>
    <r>
      <rPr>
        <i/>
        <sz val="10"/>
        <color indexed="30"/>
        <rFont val="Soberana Sans"/>
        <family val="3"/>
      </rPr>
      <t xml:space="preserve">
</t>
    </r>
  </si>
  <si>
    <t xml:space="preserve">(Recursos transferidos / recursos autorizados disponibles)*100  </t>
  </si>
  <si>
    <r>
      <t xml:space="preserve">Porcentaje de Cobertura de Agua Potable en Zonas Urbanas
</t>
    </r>
    <r>
      <rPr>
        <sz val="10"/>
        <rFont val="Soberana Sans"/>
        <family val="2"/>
      </rPr>
      <t xml:space="preserve"> Causa : Los valores registrados de la meta alcanzada se obtienen del documento "Situación del Subsector Agua Potable, Alcantarillado y Saneamiento" edición 2013 Efecto: Este indicador muestra la cobertura de los servicios de agua potable en zonas urbanas del país.  Otros Motivos:</t>
    </r>
  </si>
  <si>
    <r>
      <t xml:space="preserve">Tasa de variación de la población en zonas urbanas que cuenta por primera vez con el servicio formal de agua potable.
</t>
    </r>
    <r>
      <rPr>
        <sz val="10"/>
        <rFont val="Soberana Sans"/>
        <family val="2"/>
      </rPr>
      <t xml:space="preserve"> Causa : La información registrada es de carácter preliminar registrando la programada, toda vez que de acuerdo a las Reglas de Operación 2013, establece en su numeral 12.4.2. Cierre de Ejercicio, inciso B), que el Gobierno de la Entidad Federativa consolidará y remitirá a la Dirección General del Organismos de Cuenca o Local de la Conagua la información del cierre de ejercicio para efectos de la Cuenta Pública a más tardar en el mes de enero del 2014. Efecto: En cuanto se tengan los cierres de ejercicio enviados por los Estados, se actualizaran las metas definitivas.    Para enero mayo no se reportaron metas, ya que no se pudo estimar un avance apegado a la realidad y solo se dará  al final del ciclo presupuestario, cuando se concluyan las obras. Otros Motivos:</t>
    </r>
  </si>
  <si>
    <r>
      <t xml:space="preserve">Tasa de variación de la población en zonas urbanas que cuenta por primera vez con el servicio formal de alcantarillado. 
</t>
    </r>
    <r>
      <rPr>
        <sz val="10"/>
        <rFont val="Soberana Sans"/>
        <family val="2"/>
      </rPr>
      <t xml:space="preserve"> Causa : Los ejecutores realizaron acciones que incorporan a un mayor múmero de beneficiarios en la población en zonas urbanas que cuenta por primera vez con el servicio formal de alcantarillado. Efecto: Se incrementan los beneficios Otros Motivos:</t>
    </r>
  </si>
  <si>
    <r>
      <t xml:space="preserve">Porcentaje de agua residual a tratada. 
</t>
    </r>
    <r>
      <rPr>
        <sz val="10"/>
        <rFont val="Soberana Sans"/>
        <family val="2"/>
      </rPr>
      <t xml:space="preserve"> Causa : Los ejecutores incorporaron mayor numero de plantas de tratamiento de aguas residuales en zonas urbanas     Efecto: Mayor número de lps tratados Otros Motivos:</t>
    </r>
  </si>
  <si>
    <r>
      <t xml:space="preserve">Porcentaje de obras de agua potable terminadas
</t>
    </r>
    <r>
      <rPr>
        <sz val="10"/>
        <rFont val="Soberana Sans"/>
        <family val="2"/>
      </rPr>
      <t xml:space="preserve"> Causa : los ejecutores realizaron un mayor múmero de obras de agua potable ejecutadas en zonas urbanas     Efecto: Se incrementan los beneficios Otros Motivos:</t>
    </r>
  </si>
  <si>
    <r>
      <t xml:space="preserve">Porcentaje de obras de alcantarillado terminadas
</t>
    </r>
    <r>
      <rPr>
        <sz val="10"/>
        <rFont val="Soberana Sans"/>
        <family val="2"/>
      </rPr>
      <t xml:space="preserve"> Causa : Los ejecutores realizaron un mayor múmero de obras de alcatarillado ejecutadas en zonas urbanas     Efecto: Se supera la meta Otros Motivos:</t>
    </r>
  </si>
  <si>
    <r>
      <t xml:space="preserve">Porcentaje de informes de cierre de ejercicio de entidades federativas integrados.
</t>
    </r>
    <r>
      <rPr>
        <sz val="10"/>
        <rFont val="Soberana Sans"/>
        <family val="2"/>
      </rPr>
      <t xml:space="preserve"> Causa : Se cumple con la meta establecida, integrando 23 informes de cierre de ejercicio de entidades federativas. Efecto: se cumplió con la meta Otros Motivos:</t>
    </r>
  </si>
  <si>
    <r>
      <t xml:space="preserve">Porcentaje de Entidades Federativas con Anexos de ejecución y técnicos formalizados 
</t>
    </r>
    <r>
      <rPr>
        <sz val="10"/>
        <rFont val="Soberana Sans"/>
        <family val="2"/>
      </rPr>
      <t xml:space="preserve"> Causa : Con la firma con las 32 Entidades Federativas con Anexos de ejecución y técnicos formalizados se cumplío la meta      Efecto: Se ciumple la meta Otros Motivos:</t>
    </r>
  </si>
  <si>
    <r>
      <t xml:space="preserve">Porcentaje de recursos transferidos disponibles
</t>
    </r>
    <r>
      <rPr>
        <sz val="10"/>
        <rFont val="Soberana Sans"/>
        <family val="2"/>
      </rPr>
      <t xml:space="preserve"> Causa : La viariación del presupuesto original con respecto al presupuesto modificado se debe a movimientos presupuestarios autorizados por la SHCP, con lo que se contó con mayores recursos. Efecto: Se incrementan los beneficios Otros Motivos:</t>
    </r>
  </si>
  <si>
    <t>S075</t>
  </si>
  <si>
    <t>Programa para la Construcción y Rehabilitación de Sistemas de Agua Potable y Saneamiento en Zonas Rurales</t>
  </si>
  <si>
    <t xml:space="preserve">Contribuir a incrementar el acceso de los servicios de agua potable, alcantarillado y saneamiento en las comunidades rurales.                    </t>
  </si>
  <si>
    <r>
      <t xml:space="preserve">Porcentaje de cobertura de agua potable en Zonas Rurales. </t>
    </r>
    <r>
      <rPr>
        <i/>
        <sz val="10"/>
        <color indexed="30"/>
        <rFont val="Soberana Sans"/>
        <family val="3"/>
      </rPr>
      <t xml:space="preserve">
Indicador Seleccionado</t>
    </r>
  </si>
  <si>
    <t xml:space="preserve">(Habitantes con servicio de agua potable en zonas rurales / Población total en zonas rurales) X 100  </t>
  </si>
  <si>
    <r>
      <t>Porcentaje de cobertura de alcantarillado en el medio rural.</t>
    </r>
    <r>
      <rPr>
        <i/>
        <sz val="10"/>
        <color indexed="30"/>
        <rFont val="Soberana Sans"/>
        <family val="3"/>
      </rPr>
      <t xml:space="preserve">
</t>
    </r>
  </si>
  <si>
    <t xml:space="preserve">(Habitantes con servicio de alcantarillado en localidades rurales / Población total en localidades rurales) X 100  </t>
  </si>
  <si>
    <t xml:space="preserve">La población rural cuenta con sistemas de agua potable y alcantarillado y participa organizadamente en la prestacion de los servicios.                                 </t>
  </si>
  <si>
    <r>
      <t>Porcentaje de la población rural beneficiada con el programa con sevicio de alcantarillado.</t>
    </r>
    <r>
      <rPr>
        <i/>
        <sz val="10"/>
        <color indexed="30"/>
        <rFont val="Soberana Sans"/>
        <family val="3"/>
      </rPr>
      <t xml:space="preserve">
</t>
    </r>
  </si>
  <si>
    <t>(Habitantes beneficiados con el programa en el año con servicio de alcantarillado en localidades rurales / Habitantes que no cuentan con el servicio de alcantarillado en localidades rurales) X 100</t>
  </si>
  <si>
    <r>
      <t>Porcentaje de la población rural beneficiada con el programa con sevicio de agua potable.</t>
    </r>
    <r>
      <rPr>
        <i/>
        <sz val="10"/>
        <color indexed="30"/>
        <rFont val="Soberana Sans"/>
        <family val="3"/>
      </rPr>
      <t xml:space="preserve">
</t>
    </r>
  </si>
  <si>
    <t xml:space="preserve">(Habitantes beneficiados con el programa en el año con servicio de agua potable en localidades rurales / Habitantes que no cuentan con el servicio de agua potable en localidades rurales) X 100  </t>
  </si>
  <si>
    <t xml:space="preserve">A C.1 Infraestructura de agua potable, y alcantarillado.    </t>
  </si>
  <si>
    <r>
      <t>Porcentaje de obras de agua potable construidas y operanado.</t>
    </r>
    <r>
      <rPr>
        <i/>
        <sz val="10"/>
        <color indexed="30"/>
        <rFont val="Soberana Sans"/>
        <family val="3"/>
      </rPr>
      <t xml:space="preserve">
</t>
    </r>
  </si>
  <si>
    <t>(Número de obras de agua potable contruidas y operando en localidades rurales/ Número de obras de agua poble programadas en localidades rurales) x 100</t>
  </si>
  <si>
    <r>
      <t>Porcentaje de obras de alcantarillado construidas y operanado.</t>
    </r>
    <r>
      <rPr>
        <i/>
        <sz val="10"/>
        <color indexed="30"/>
        <rFont val="Soberana Sans"/>
        <family val="3"/>
      </rPr>
      <t xml:space="preserve">
</t>
    </r>
  </si>
  <si>
    <t xml:space="preserve">(Número de obras de alcantarillado construidas y operando en localidades rurales / Numero de obras de alcantarilldo programadas en localidades rruales) X 100  </t>
  </si>
  <si>
    <t>B Apoyar el fortalecimiento institucional de las áreas de atención al medio rural de los Estados y Municipios durante la ejecución del Programa.</t>
  </si>
  <si>
    <r>
      <t>Porcentaje de estados apoyados con acciones de fortalecimiento institucional.</t>
    </r>
    <r>
      <rPr>
        <i/>
        <sz val="10"/>
        <color indexed="30"/>
        <rFont val="Soberana Sans"/>
        <family val="3"/>
      </rPr>
      <t xml:space="preserve">
</t>
    </r>
  </si>
  <si>
    <t xml:space="preserve">(Estados apoyados con acciones de fortalecimiento / Total de estados participantes que programan acciones de fortalecimientoo) X 100  </t>
  </si>
  <si>
    <t>C Propiciar la participación social en la prestación de los servicios desde la planeación hasta su administración.</t>
  </si>
  <si>
    <r>
      <t>Porcentaje de figuras organizativas constituidas y capacitadas para colaborar en la prestación de los servicios.</t>
    </r>
    <r>
      <rPr>
        <i/>
        <sz val="10"/>
        <color indexed="30"/>
        <rFont val="Soberana Sans"/>
        <family val="3"/>
      </rPr>
      <t xml:space="preserve">
</t>
    </r>
  </si>
  <si>
    <t xml:space="preserve">(Figuras organizativas constituidas capacitadas para la operación y mantenimiento de los sistemas / Figuras organizativas programadas) X 100  </t>
  </si>
  <si>
    <t xml:space="preserve">C 1 Integración del programa operativo anual que considera los 3 componentes del programa  </t>
  </si>
  <si>
    <r>
      <t>Porcentaje de anexos formalizados</t>
    </r>
    <r>
      <rPr>
        <i/>
        <sz val="10"/>
        <color indexed="30"/>
        <rFont val="Soberana Sans"/>
        <family val="3"/>
      </rPr>
      <t xml:space="preserve">
</t>
    </r>
  </si>
  <si>
    <t xml:space="preserve">(Anexos formalizados / anexos programados) x 100  </t>
  </si>
  <si>
    <t>Gestión-Eficiencia-Mensual</t>
  </si>
  <si>
    <t xml:space="preserve">C 2 Segimiento en la ejecución del programa que considera los 3 componentes del programa  </t>
  </si>
  <si>
    <r>
      <t>Porcentaje de recursos federales radicados</t>
    </r>
    <r>
      <rPr>
        <i/>
        <sz val="10"/>
        <color indexed="30"/>
        <rFont val="Soberana Sans"/>
        <family val="3"/>
      </rPr>
      <t xml:space="preserve">
</t>
    </r>
  </si>
  <si>
    <t>(Recursos radicados / recursos programados) x 100</t>
  </si>
  <si>
    <t>Gestión-Economía-Mensual</t>
  </si>
  <si>
    <r>
      <t xml:space="preserve">Porcentaje de cobertura de agua potable en Zonas Rurales. 
</t>
    </r>
    <r>
      <rPr>
        <sz val="10"/>
        <rFont val="Soberana Sans"/>
        <family val="2"/>
      </rPr>
      <t xml:space="preserve"> Causa : El indicador fue programado con antelación a la autorización del PEF 2013, es decir con base en el monto de recursos federales estimados a autorizar para el ejercicio 2013.                   Los porcentajes de alcance se calcularon con base en la meta aprobada de 160,000 habitantes y la modificada de 200,000 habitantes (programados a beneficiar en localidades rurales con su incorporación al servicio de agua potable).                  La meta alcanzada es resultado de la aplicación de los recursos federales y estatales concertados en los Anexos de Ejecución y Técnicos suscritos  con los 31 gobiernos estales participantes, de conformidad con lo establecido en las Reglas de Operación del Programa. Es decir, el logro es resultado de la suma de esfuerzos y recursos de los gobiernos federal y estatales.          Efecto: No se espera un efecto negativo. Otros Motivos:A consecuencia de la Tormenta Tropical Manuel y del Huracán Ingrid, ambos desastres naturales ocurridos en el tercer trimestre de 2013, se autorizaron recursos presupuestales adicionales para atender los daños causados en la infraestructura hidráulica en algunos estados, en especial en Guerrero.                  Cabe puntualizar que los recursos presupuestales adicionales fueron canalizados mayoritariamente a la reparación y mejoramiento de los sistemas de agua potable dañados por los efectos de los fenómenos meteorológicos arriba señalados, por lo cual el beneficio de dichas obras no repercutió (como se hubiera eseado) en el incremento de la cobertura, pero sí contribuyó en el mantenimiento de la misma.                                    </t>
    </r>
  </si>
  <si>
    <r>
      <t xml:space="preserve">Porcentaje de cobertura de alcantarillado en el medio rural.
</t>
    </r>
    <r>
      <rPr>
        <sz val="10"/>
        <rFont val="Soberana Sans"/>
        <family val="2"/>
      </rPr>
      <t xml:space="preserve"> Causa : La meta original fue estimada antes de la autorización del PEF 2013.            La meta alcanzada fue posible gracias a la suma de recursos financieros, técnicos y humanos del gobierno federal y los 31 gobiernos estales participantes.             Debe puntualizarse que por tratarse de un programa federalizado, la meta alcanzada es resultado de la definición de los programas de obras estatales, ello conforme a las necesidades específicas de cada entidad federativa.       Efecto: No se  espera ningún efecto negativo Otros Motivos:A consecuencia de la Tormenta Tropical Manuel y del Huracán Ingrid, ambos desastres naturales ocurridos en el tercer trimestre de 2013, se autorizaron recursos presupuestales adicionales para atender los daños causados en la infraestructura hidráulica en algunos estados, en especial en Guerrero.            Cabe puntualizar que los recursos presupuestales adicionales fueron canalizados mayoritariamente a la reparación y mejoramiento de los sistemas de alcantarillado dañados por los efectos de los fenómenos meteorológicos arriba señalados, por lo cual el beneficio de dichas obras no repercutió (como se hubiera deseado) en un mayor incremento de la cobertura, pero sí contribuyó al mantenimiento de la misma.      </t>
    </r>
  </si>
  <si>
    <r>
      <t xml:space="preserve">Porcentaje de la población rural beneficiada con el programa con sevicio de alcantarillado.
</t>
    </r>
    <r>
      <rPr>
        <sz val="10"/>
        <rFont val="Soberana Sans"/>
        <family val="2"/>
      </rPr>
      <t xml:space="preserve"> Causa : La meta original NO fue de 160,000 habitantes, sino de 106,600. Que aparezcan 160,000 es un error del sistema o tal vez de dedo.            La meta original fue programada antes de la autorización del PEF 2013.          Los porcentajes de cumplimiento de la meta registrados fueron calculados respecto de los indicadores correctos:           ¿Meta Aprobada: 106,600 habitantes, con un indicador de 1.22     ¿Meta Modificada: 125,000 habitantes, con un indicador de 1.43          (Con una Meta Alcanzada: 157,500 habitantes, para un indicador de 1.80)                Debe puntualizarse que por tratarse de un programa federalizado, la meta alcanzada es resultado de la definición de los programas de obras estatales, ello conforme a las necesidades específicas de cada entidad federativa.      Efecto: No se espera un efecto negativo Otros Motivos:A consecuencia de la Tormenta Tropical Manuel y del Huracán Ingrid, ambos desastres naturales ocurridos en el tercer trimestre de 2013, se autorizaron recursos presupuestales adicionales para atender los daños causadosen la infraestructura hidráulica en algunos estados, en especial en Guerrero.            Cabe puntualizar que los recursos presupuestales adicionales fueron canalizados mayoritariamente a la reparación y mejoramiento de los sistemas de alcantarillado dañados por los efectos de los fenómenos meteorológicos arriba señalados, por lo cual el beneficio de dichas obras no repercutió (como se hubiera deseado) en un incremento mayormde la cobertura, sino el mantenimiento de la misma.      </t>
    </r>
  </si>
  <si>
    <r>
      <t xml:space="preserve">Porcentaje de la población rural beneficiada con el programa con sevicio de agua potable.
</t>
    </r>
    <r>
      <rPr>
        <sz val="10"/>
        <rFont val="Soberana Sans"/>
        <family val="2"/>
      </rPr>
      <t xml:space="preserve"> Causa : El indicador fue programado con antelación a la autorización del PEF 2013, es decir con base en el monto de recursos federales estimados a autorizar para el ejercicio 2013.             Los porcentajes de alcance se calcularon con base en la meta aprobada de 160,000 habitantes y la modificada de 200,000 habitantes (programados a beneficiar en localidades rurales con su incorporación al servicio de agua potable).            La meta alcanzada es resultado de la aplicación de los recursos federales y estatales concertados en los Anexos de Ejecución y Técnicos suscritos  con los 31 gobiernos estales participantes, de conformidad con lo establecido en las Reglas de Operación del Programa. Es decir, el logro de la meta alcanzada es resultado de la suma de esfuerzos y recursos federales y estatales.       Efecto: No se estima un efecto negativo Otros Motivos:A consecuencia de la Tormenta Tropical Manuel y del Huracán Ingrid, ambos desastres naturales ocurridos en el tercer trimestre de 2013, se autorizaron recursos presupuestales adicionales para atender los daños causados en la infraestructura hidráulica en algunos estados, en especial en Guerrero.            Cabe puntualizar que los recursos presupuestales adicionales fueron canalizados mayoritariamente a la reparación y mejoramiento de los sistemas de agua potable dañados por los efectos de los fenómenos meteorológicos arriba señalados, por lo cual el beneficio de dichas obras no repercutió (como se hubiera deseado) en un mayor incremento de la cobertura, sino el mantenimiento de la misma.      </t>
    </r>
  </si>
  <si>
    <r>
      <t xml:space="preserve">Porcentaje de obras de agua potable construidas y operanado.
</t>
    </r>
    <r>
      <rPr>
        <sz val="10"/>
        <rFont val="Soberana Sans"/>
        <family val="2"/>
      </rPr>
      <t xml:space="preserve"> Causa : La meta original fue programada antes de la autorización del PEF 2013.          La meta alcanzada fue posible mediante la suma de recursos financieros, técnicos y humanos del gobierno federal y los 31 gobiernos estales participantes.  Efecto: No se espera ningún efecto negativo. Otros Motivos:Debe puntualizarse que por tratarse de un programa federalizado, la meta alcanzada es resultado de la definición de los programas de obras estatales, ello conforme a las necesidades específicas de cada entidad federativa.</t>
    </r>
  </si>
  <si>
    <r>
      <t xml:space="preserve">Porcentaje de obras de alcantarillado construidas y operanado.
</t>
    </r>
    <r>
      <rPr>
        <sz val="10"/>
        <rFont val="Soberana Sans"/>
        <family val="2"/>
      </rPr>
      <t xml:space="preserve"> Causa : La meta original fue estimada antes de la autorización del PEF 2013.           La meta alcanzada fue posible mediante la suma de recursos financieros, técnicos y humanos del gobierno federal y los 31 gobiernos estales participantes.  Efecto: No se espera un efecto negativo.       Otros Motivos:Debe puntualizarse que por tratarse de un programa federalizado, la meta alcanzada es resultado de la definición de los programas de obras estatales, ello conforme a las necesidades específicas de cada entidad federativa.</t>
    </r>
  </si>
  <si>
    <r>
      <t xml:space="preserve">Porcentaje de estados apoyados con acciones de fortalecimiento institucional.
</t>
    </r>
    <r>
      <rPr>
        <sz val="10"/>
        <rFont val="Soberana Sans"/>
        <family val="2"/>
      </rPr>
      <t xml:space="preserve"> Causa : La meta original (15 estados) fue programada antes de la autorización del PEF 2013.          Se programó apoyar a un número inferior del total de estados Universo el Programa (los 31) porque año con año no todos los gobiernos estatales, ejecutores del Programa, deciden hacer acciones de fortaleciendo institucional. Efecto: No se estima un efecto negativo.      Otros Motivos:La meta refleja un número mayor de estados con interés por efectuar acciones de fortalecimiento institucional.</t>
    </r>
  </si>
  <si>
    <r>
      <t xml:space="preserve">Porcentaje de figuras organizativas constituidas y capacitadas para colaborar en la prestación de los servicios.
</t>
    </r>
    <r>
      <rPr>
        <sz val="10"/>
        <rFont val="Soberana Sans"/>
        <family val="2"/>
      </rPr>
      <t xml:space="preserve"> Causa : La meta original (900 Figuras Organizativas constituidas capacitadas) fue programada antes de la autorización del PEF 2013.          La meta alcanzada fue posible mediante la suma de recursos financieros, técnicos y humanos del gobierno federal y los 31 gobiernos estales participantes.           Como consecuencia del mayor número de obras de agua potable y alcantarillado del esperado, se tuvo un mayor número de Formas Organizativas constituidas y capacitadas para la operación y mantenimiento de los sistemas de agua potable y alcantarillado construidos con los recursos del Pp S075.  Efecto: No se espera ningún efecto negativo Otros Motivos:Cabe puntualizar que las Formas Organizativas se crean y capacitan no sólo cuando se construyen obras nuevas, en ocasiones también cuando se rehabilitan obras. Este año, a causa de los daños ocasionados por los fenómenos «Manuel» e «Ingrid» se efectuaron muchas obras de rehabilitación, lo cual influyó en un mayor número de Formas Organizativas creadas-capacitadas.</t>
    </r>
  </si>
  <si>
    <r>
      <t xml:space="preserve">Porcentaje de anexos formalizados
</t>
    </r>
    <r>
      <rPr>
        <sz val="10"/>
        <rFont val="Soberana Sans"/>
        <family val="2"/>
      </rPr>
      <t xml:space="preserve"> Causa : Meta original estimada antes de la autorización del PEF 2013.        Debido a que en años anteriores se había registrado una participación inferior al 100% de las entidades federativas (el Distrito federal no está incluido en el Pp S075), porque algunos gobiernos tenían dificultadas ya sea de índole financiera, o a consecuencia de recomendaciones derivadas de procesos de fiscalización, se estimó la participación de 29 estados sobre un total de 31. Efecto: No se espera ningún efecto negativo. Otros Motivos:La totalidad de estados considerados en el Universo de Atención del Pp S075 (31) se interesaron en participar en el Programa.</t>
    </r>
  </si>
  <si>
    <r>
      <t xml:space="preserve">Porcentaje de recursos federales radicados
</t>
    </r>
    <r>
      <rPr>
        <sz val="10"/>
        <rFont val="Soberana Sans"/>
        <family val="2"/>
      </rPr>
      <t xml:space="preserve"> Causa : Ejercido preliminar, pues a la fecha (25 de febrero de 2014) el Sistema de Administración Integral (SAI) no ha emitido cifras definitivas de cierre de ejercicio 2013.            El presupuesto aprobado en el PEF 2013 al Programa para la Construcción y Rehabilitación de Sistemas de Agua Potable y Saneamiento en Zonas Rurales.- Pp S075, ya con las ampliaciones autorizadas por los Diputados, fue de $ 2,696,420,003.00.            A consecuencia de la Tormenta Tropical Manuel y del Huracán Ingrid, ambos desastres naturales ocurridos en el tercer trimestre de 2013, se autorizaron recursos presupuestales adicionales para atender los daños causados en la infraestructura hidráulica en algunos estados, en especial en Guerrero, con el cual el Presupuesto Federal Modificado Autorizado al Pp S075 quedó en $ 2,889,309,753.82. Dicho monto fue radicado en su totalidad a las 31 entidades federativas con Anexos de Ejecución y Técnicos suscritos.                         Efecto: No se espera ningún efecto negativo. Otros Motivos:Cabe puntualizar que los recursos presupuestales adicionales fueron canalizados mayoritariamente a la rehabilitación y mejoramiento de los sistemas de agua potable y alcantarillado dañados a causa de los fenómenos meteorológicos arriba señalados. En razón de esto, el beneficio de dichas obras no repercutió(como se hubiera deseado) en un mayor incremento de la cobertura de los servicios de agua potable y saneamiento, pero sí en el mantenimiento de la misma.</t>
    </r>
  </si>
  <si>
    <t>S079</t>
  </si>
  <si>
    <t>Programa de Rehabilitación, Modernización y Equipamiento de Distritos de Riego</t>
  </si>
  <si>
    <t>3 - Desarrollo Económico</t>
  </si>
  <si>
    <t>2 - Agropecuaria, Silvicultura, Pesca y Caza</t>
  </si>
  <si>
    <t>5 - Hidroagrícola</t>
  </si>
  <si>
    <t>Contribuir a mejorar la productividad de la tierra en distritos de riego, conservando y modernizando la infraestructura para la oportuna conducción y entrega del agua, a fin de lograr un manejo integral y sustentable del recurso.</t>
  </si>
  <si>
    <r>
      <t>Productividad de la tierra en Distritos de Riego</t>
    </r>
    <r>
      <rPr>
        <i/>
        <sz val="10"/>
        <color indexed="30"/>
        <rFont val="Soberana Sans"/>
        <family val="3"/>
      </rPr>
      <t xml:space="preserve">
</t>
    </r>
  </si>
  <si>
    <t>(Productividad de la tierra en el año i  / Valor de la productividad de la tierra programada en el periodo 2013-2018) x 100</t>
  </si>
  <si>
    <t>Infraestructura hidroagrícola, conservada, modernizada y/o tecnificada por las organizaciones de usuarios de los distritos de riego</t>
  </si>
  <si>
    <r>
      <t>Organizaciones de usuarios de los Distritos de Riego beneficiadas con acciones de la Componente Rehabilitación y Modernización de Distritos de Riego</t>
    </r>
    <r>
      <rPr>
        <i/>
        <sz val="10"/>
        <color indexed="30"/>
        <rFont val="Soberana Sans"/>
        <family val="3"/>
      </rPr>
      <t xml:space="preserve">
</t>
    </r>
  </si>
  <si>
    <t xml:space="preserve">(Número de Organizaciones de usuarios de los Distritos de Riego beneficiadas con acciones de la Componente Rehabilitación y Modernización de Distritos de Riego/ Número total de organizaciones de usuarios de los Distritos de Riego)x100  </t>
  </si>
  <si>
    <r>
      <t>Superficie modernizada y/o tecnificada en distritos de riego, con respecto al PNH.</t>
    </r>
    <r>
      <rPr>
        <i/>
        <sz val="10"/>
        <color indexed="30"/>
        <rFont val="Soberana Sans"/>
        <family val="3"/>
      </rPr>
      <t xml:space="preserve">
Indicador Seleccionado</t>
    </r>
  </si>
  <si>
    <t xml:space="preserve">(Superficie modernizada y/o tecnificada acumulada al año i, en distritos de riego / Superficie modernizada y/o tecnificada  programada en el PNH) x100  </t>
  </si>
  <si>
    <t>Estratégico-Eficacia-Mensual</t>
  </si>
  <si>
    <r>
      <t>Superficie con infraestructura conservada en distritos de riego, con las componentes de equipamiento y devolución de pagos por suministro de agua en bloque.</t>
    </r>
    <r>
      <rPr>
        <i/>
        <sz val="10"/>
        <color indexed="30"/>
        <rFont val="Soberana Sans"/>
        <family val="3"/>
      </rPr>
      <t xml:space="preserve">
</t>
    </r>
  </si>
  <si>
    <t xml:space="preserve">(Superficie beneficiada con la infraestructura conservada  / Superficie programada a beneficiar con la infraestructura conservada) x 100  </t>
  </si>
  <si>
    <r>
      <t>Organizaciones de usuarios de los Distritos de Riego beneficiadas con acciones de la Componente Equipamiento, con respecto al total de Organizaciones de Usuarios de los Distritos de Riego</t>
    </r>
    <r>
      <rPr>
        <i/>
        <sz val="10"/>
        <color indexed="30"/>
        <rFont val="Soberana Sans"/>
        <family val="3"/>
      </rPr>
      <t xml:space="preserve">
</t>
    </r>
  </si>
  <si>
    <t>(Número de Organizaciones de usuarios de los Distritos de Riego beneficiadas con acciones de la Componente Equipamiento / Número total de organizaciones de usuarios de los Distritos de Riego)x100</t>
  </si>
  <si>
    <t>A Apoyos entregados a las organizaciones de usuarios para la realización de acciones de modernización y/o tecnificación en los Distritos de Riego</t>
  </si>
  <si>
    <r>
      <t>Supercie modernizada en Distritos de Riego, con respecto al programado en el ejercicio</t>
    </r>
    <r>
      <rPr>
        <i/>
        <sz val="10"/>
        <color indexed="30"/>
        <rFont val="Soberana Sans"/>
        <family val="3"/>
      </rPr>
      <t xml:space="preserve">
</t>
    </r>
  </si>
  <si>
    <t>(Superficie modernizada acumulada en el periodo, en distritos de riego / Superficie modernizada programada en el ejercicio) x 100</t>
  </si>
  <si>
    <r>
      <t>Superficie tecnificada a nivel parcelario, en Distritos de Riego, con respecto al programado en el ejercicio.</t>
    </r>
    <r>
      <rPr>
        <i/>
        <sz val="10"/>
        <color indexed="30"/>
        <rFont val="Soberana Sans"/>
        <family val="3"/>
      </rPr>
      <t xml:space="preserve">
</t>
    </r>
  </si>
  <si>
    <t xml:space="preserve">(Superficie tecnificada a nivel parcelario acumulada en el periodo distritos de riego  / Superficie tecnificada programada en el ejercicio )x100  </t>
  </si>
  <si>
    <r>
      <t>Organizaciones de usuarios de los Distritos de Riego beneficiadas con acciones de la Componente Devolución de Pagos por Suministro de Agua en Bloque, con respecto al total de  Organizaciones de Usuarios  contribuyentes.</t>
    </r>
    <r>
      <rPr>
        <i/>
        <sz val="10"/>
        <color indexed="30"/>
        <rFont val="Soberana Sans"/>
        <family val="3"/>
      </rPr>
      <t xml:space="preserve">
</t>
    </r>
  </si>
  <si>
    <t>(Número de Organizaciones de usuarios de los Distritos de Riego beneficiadas con acciones de la Componente Devolución de Pagos por Suministro de Agua en Bloque / Número total  total de  Organizaciones de Usuarios  contribuyentes)x100</t>
  </si>
  <si>
    <r>
      <t xml:space="preserve">Talleres equipados en el año  </t>
    </r>
    <r>
      <rPr>
        <i/>
        <sz val="10"/>
        <color indexed="30"/>
        <rFont val="Soberana Sans"/>
        <family val="3"/>
      </rPr>
      <t xml:space="preserve">
</t>
    </r>
  </si>
  <si>
    <t xml:space="preserve">(Número de talleres equipados en el año / el número de talleres equipados programados en el año) x 100  </t>
  </si>
  <si>
    <r>
      <t xml:space="preserve">Maquinaria y equipo adquirido en el año. </t>
    </r>
    <r>
      <rPr>
        <i/>
        <sz val="10"/>
        <color indexed="30"/>
        <rFont val="Soberana Sans"/>
        <family val="3"/>
      </rPr>
      <t xml:space="preserve">
</t>
    </r>
  </si>
  <si>
    <t xml:space="preserve">(Número de unidades adquiridas en el año / número de unidades programadas a adquirir en el año) x 100  </t>
  </si>
  <si>
    <r>
      <t xml:space="preserve">Maquinaria y equipo rehabilitado en el año. </t>
    </r>
    <r>
      <rPr>
        <i/>
        <sz val="10"/>
        <color indexed="30"/>
        <rFont val="Soberana Sans"/>
        <family val="3"/>
      </rPr>
      <t xml:space="preserve">
</t>
    </r>
  </si>
  <si>
    <t xml:space="preserve">(Número de unidades rehabilitadas en el año / número de unidades programadas a rehabilitar en el año) x 100  </t>
  </si>
  <si>
    <t xml:space="preserve">A 1 Seguimiento al ejercicio del Programa                                       </t>
  </si>
  <si>
    <r>
      <t>Contratación de obras con respecto al Presupuesto autorizado a contratar en la Componente Rehabilitación y Modernización de Distritos de Riego.</t>
    </r>
    <r>
      <rPr>
        <i/>
        <sz val="10"/>
        <color indexed="30"/>
        <rFont val="Soberana Sans"/>
        <family val="3"/>
      </rPr>
      <t xml:space="preserve">
</t>
    </r>
  </si>
  <si>
    <t xml:space="preserve">(Monto del presupuesto acumulado contratado  en el periodo / Monto total autorizado a contratar en la Componente Rehabilitación y Modernización de Distritos de Rieg ) x 100 </t>
  </si>
  <si>
    <r>
      <t>Contratación de adquisiciones con respecto al presupuesto autorizado a contratar en la Componente Equipamiento</t>
    </r>
    <r>
      <rPr>
        <i/>
        <sz val="10"/>
        <color indexed="30"/>
        <rFont val="Soberana Sans"/>
        <family val="3"/>
      </rPr>
      <t xml:space="preserve">
</t>
    </r>
  </si>
  <si>
    <t xml:space="preserve">(Monto del presupuesto contratado acumulado en el periodo / Monto total autorizado a contratar en la Componente Equipamiento) x 100 </t>
  </si>
  <si>
    <t>Gestión-Economía-Trimestral</t>
  </si>
  <si>
    <t>A 2 Formalización de anexos y/o Convenios de Concertación, con respecto al presupuesto autorizado a formalizar</t>
  </si>
  <si>
    <r>
      <t>Formalización de anexos de ejecución y técnicos y/o Convenios de Concertación de la Componente Rehabilitación y Modernización de Distritos de Riego</t>
    </r>
    <r>
      <rPr>
        <i/>
        <sz val="10"/>
        <color indexed="30"/>
        <rFont val="Soberana Sans"/>
        <family val="3"/>
      </rPr>
      <t xml:space="preserve">
</t>
    </r>
  </si>
  <si>
    <t>(Monto del presupuesto formalizado en el periodo / Monto total anual del presupuesto autorizado a formalizar en la Componente Rehabilitación y Modernización de Distritos de Riego) x 100</t>
  </si>
  <si>
    <r>
      <t>Formalización de anexos de ejecución y técnicos y/o Convenios de Concertación de la Componente Equipamiento</t>
    </r>
    <r>
      <rPr>
        <i/>
        <sz val="10"/>
        <color indexed="30"/>
        <rFont val="Soberana Sans"/>
        <family val="3"/>
      </rPr>
      <t xml:space="preserve">
</t>
    </r>
  </si>
  <si>
    <t>(Monto del presupuesto formalizado en el periodo / Monto total anual del presupuesto autorizado a formalizar en la Componente Equipamiento) x 100</t>
  </si>
  <si>
    <r>
      <t>Formalización de Convenios de Concertación de la Componente Devolución de Pagos por Suministro de Agua en Bloque</t>
    </r>
    <r>
      <rPr>
        <i/>
        <sz val="10"/>
        <color indexed="30"/>
        <rFont val="Soberana Sans"/>
        <family val="3"/>
      </rPr>
      <t xml:space="preserve">
</t>
    </r>
  </si>
  <si>
    <t>(Monto del presupuesto formalizado en el periodo / Monto total anual del presupuesto autorizado a formalizar en la Componente Devolución de Pagos por Suministro de Agua en Bloque) x 100</t>
  </si>
  <si>
    <t>A 3 Radicación de recursos a los Fideicomisos Fondo de Fomento Agropecuario Estatal (FOFAE´s)</t>
  </si>
  <si>
    <r>
      <t>Radicación de recursos a los Fideicomisos Fondo de Fomento Agropecuario Estatal (FOFAE´s) y Organizaciones de Usuarios de Distritos de Riego de la Componente Rehabilitación y Modernización de Distritos de Riego</t>
    </r>
    <r>
      <rPr>
        <i/>
        <sz val="10"/>
        <color indexed="30"/>
        <rFont val="Soberana Sans"/>
        <family val="3"/>
      </rPr>
      <t xml:space="preserve">
</t>
    </r>
  </si>
  <si>
    <t xml:space="preserve">(Monto acumulado radicado en el periodo a los FOFAE´s y Organizaciones de Usuarios de Distritos de Riego / Monto total anual del presupuesto autorizado a formalizar en la Componente Rehabilitación y Modernización de Distritos de Riego) x 100 </t>
  </si>
  <si>
    <r>
      <t>Radicación de recursos a los Fideicomisos Fondo de Fomento Agropecuario Estatal (FOFAE´s) y Organizaciones de Usuarios  de la Componente Equipamiento</t>
    </r>
    <r>
      <rPr>
        <i/>
        <sz val="10"/>
        <color indexed="30"/>
        <rFont val="Soberana Sans"/>
        <family val="3"/>
      </rPr>
      <t xml:space="preserve">
</t>
    </r>
  </si>
  <si>
    <t xml:space="preserve">(Monto acumulado radicado en el periodo a los FOFAE´s y Organizaciones de Usuarios, / Monto total anual del presupuesto autorizado a formalizar en la Componente Equipamiento) x 100 </t>
  </si>
  <si>
    <r>
      <t>Radicación de recursos a las Organizaciones de Usuarios de la Componente Devolución de Pagos por Suministro de Agua en Bloque</t>
    </r>
    <r>
      <rPr>
        <i/>
        <sz val="10"/>
        <color indexed="30"/>
        <rFont val="Soberana Sans"/>
        <family val="3"/>
      </rPr>
      <t xml:space="preserve">
</t>
    </r>
  </si>
  <si>
    <t xml:space="preserve">(Monto acumulado radicado en el periodo a las Organizaciones de Usuarios, / Monto total anual del presupuesto autorizado a formalizar en la Componente DPSAB) x 100 </t>
  </si>
  <si>
    <r>
      <t xml:space="preserve">Productividad de la tierra en Distritos de Riego
</t>
    </r>
    <r>
      <rPr>
        <sz val="10"/>
        <rFont val="Soberana Sans"/>
        <family val="2"/>
      </rPr>
      <t xml:space="preserve"> Causa : En el año agrícola 2012-2013 hubo un incremento del valor de la producción mayor al estimado, ocasionado por el incremento de siembra de     superficies de granos con mayor precio medio rural y la disminución de siembra de superficies de forrajes con menor precio medio rural. Efecto: La meta realizada se encuentra por encima de la programada por las razones expuestas anteriormente. Otros Motivos:</t>
    </r>
  </si>
  <si>
    <r>
      <t xml:space="preserve">Organizaciones de usuarios de los Distritos de Riego beneficiadas con acciones de la Componente Rehabilitación y Modernización de Distritos de Riego
</t>
    </r>
    <r>
      <rPr>
        <sz val="10"/>
        <rFont val="Soberana Sans"/>
        <family val="2"/>
      </rPr>
      <t xml:space="preserve"> Causa : La meta original fue programada en base al anteproyecto de presupuesto para el ejercicio fiscal 2013.       El presupuesto autorizado al Programa S079 Componente Rehabilitación y Modernización de Distritos de Riego, para el ejercicio fiscal 2013 fue mayor al del presupuesto de anteproyecto.         Efecto: Los Apoyos de esta Componente permiten a las organizaciones de usuarios de distritos de riego realizar acciones de rehabilitación y modernización de la infraestructura hidroagrícola concesionada en los distritos de riego y tecnificación del riego, para lograr un uso eficiente y sustentable del recurso agua desde la red de conducción y distribución hasta la parcela, aumentando la disponibilidad de la misma y logrando un mejor aprovechamiento de la dotación con mayor eficiencia, mejorando la calidad y oportunidad del servicio de riego e incrementar la producción agrícola y productividad del agua, y con ello incrementar la economía y calidad de vida de los productores, con estas acciones se beneficiaron 294 organizaciones de usuarios. Otros Motivos:</t>
    </r>
  </si>
  <si>
    <r>
      <t xml:space="preserve">Superficie modernizada y/o tecnificada en distritos de riego, con respecto al PNH.
</t>
    </r>
    <r>
      <rPr>
        <sz val="10"/>
        <rFont val="Soberana Sans"/>
        <family val="2"/>
      </rPr>
      <t xml:space="preserve"> Causa : La meta original fue programada en base al anteproyecto de presupuesto para el ejercicio fiscal 2013.     El presupuesto autorizado al Programa S079 Componente Rehabilitación y Modernización de Distritos de Riego, para el ejercicio fiscal 2013 fue mayor al del presupuesto de anteproyecto.     Las acciones de esta componente están sujetas a la demanda de las organizaciones de usuarios de los distritos de riego, así como a la oportunidad con que dispongan los propios usuarios beneficiados del 50% del costo total de las obras como contraparte.         Efecto: Las acciones realizadas en obras de  rehabilitación y modernización de la infraestructura hidroagrícola concesionada y la tecnificación del riego,  permiten a las organizaciones de usuarios de distritos de riego lograr un uso eficiente y sustentable del recurso agua desde la red de conducción y distribución hasta la parcela, aumentando la disponibilidad de la misma y logrando un mejor aprovechamiento de la dotación con mayor eficiencia, mejorando la calidad y oportunidad del servicio de riego e incrementar la producción agrícola y productividad del agua, y con ello incrementar la economía y calidad de vida de los productores, con estas acciones se beneficiaron 294 organizaciones de usuarios y una superficie de 90,959 hectáreas modernizadas y/o tecnificadas. Otros Motivos:</t>
    </r>
  </si>
  <si>
    <r>
      <t xml:space="preserve">Superficie con infraestructura conservada en distritos de riego, con las componentes de equipamiento y devolución de pagos por suministro de agua en bloque.
</t>
    </r>
    <r>
      <rPr>
        <sz val="10"/>
        <rFont val="Soberana Sans"/>
        <family val="2"/>
      </rPr>
      <t xml:space="preserve"> Causa : La componente de Devolución por Suministro de Agua en Bloque está sujeta al pago por el suministro de agua en bloque y a los ingresos excedentes mediante la ampliación líquida que autoriza la Secretaria de Hacienda y Crédito Público.     Para la componente  de Equipamiento, aun se siguen cerrando procesos de licitación con la entrega de maquinaria, rehabilitaciones de maquinaria y equipamientos de taller. Efecto: Con los beneficios económicos y sociales alcanzados con este indicador  se logró que las organizaciones de usuarios realizaran obras de conservación que permitieron hacer un uso eficiente y sustentable del recurso agua, mejorando la oportunidad del servicio de riego y contribuyendo a la producción y productividad de las áreas de riego,  mejorando la economía y calidad de vida de sus familias. Otros Motivos:</t>
    </r>
  </si>
  <si>
    <r>
      <t xml:space="preserve">Organizaciones de usuarios de los Distritos de Riego beneficiadas con acciones de la Componente Equipamiento, con respecto al total de Organizaciones de Usuarios de los Distritos de Riego
</t>
    </r>
    <r>
      <rPr>
        <sz val="10"/>
        <rFont val="Soberana Sans"/>
        <family val="2"/>
      </rPr>
      <t xml:space="preserve"> Causa : Se siguen cerrando procesos de licitación con la entrega de maquinaria, rehabilitaciones de maquinaria y equipamientos de taller, para beneficiar a las Organizaciones de Usuarios. Efecto: Con los beneficios alcanzados con este indicador de componente se logró que las organizaciones de usuarios adquirieran maquinaria para la conservación que permitie hacer un uso eficiente y sustentable del recurso agua, mejorando la oportunidad del servicio de riego y contribuyendo a la producción y productividad de las áreas de riego,  mejorando la economía y calidad de vida de sus familias. Otros Motivos:</t>
    </r>
  </si>
  <si>
    <r>
      <t xml:space="preserve">Supercie modernizada en Distritos de Riego, con respecto al programado en el ejercicio
</t>
    </r>
    <r>
      <rPr>
        <sz val="10"/>
        <rFont val="Soberana Sans"/>
        <family val="2"/>
      </rPr>
      <t xml:space="preserve"> Causa :  La meta original fue programada en base al anteproyecto de presupuesto para el ejercicio fiscal 2013.     El presupuesto autorizado al Programa S079 Componente Rehabilitación y Modernización de Distritos de Riego, para el ejercicio fiscal 2013 fue mayor al del presupuesto de anteproyecto.     Así mismo y a efecto de se congruente con el cumplimiento al resultado Núm 11, acción 11-0-16-B00-07-0367-07-009 del Informe de Resultados de la Fiscalización Superior de la Cuenta Pública 2011 de la Auditoría 11-0-16-B00-07-0367, en el que señala ¿que la Comisión Nacional del Agua establezca metas anuales que le permitan medir el indicador se Superficie tecnificada a nivel parcelario, en distritos de riego ¿¿, se modificó el numerador y denominador del presente Indicador.     Por otro lado se ejercieron recursos devengados no pagados de ejercicios precedentes, que contribuyeron a esta meta.      Las acciones de esta componente están sujetas a la demanda de las organizaciones de usuarios de los distritos de riego y a la oportunidad con que dispongan los propios usuarios beneficiados del 50% del costo total de las obras como contraparte.      Efecto: Las acciones realizadas en obras de rehabilitación y modernización de la infraestructura hidroagrícola concesionada, les permiten a las organizaciones de usuarios de distritos de riego lograr un uso eficiente y sustentable del recurso agua desde la red de conducción y distribución aumentando la disponibilidad de la misma y logrando un mejor aprovechamiento de la dotación con mayor eficiencia, mejorando la calidad y oportunidad del servicio de riego e incrementar la producción agrícola y productividad del agua,  y con ello incrementar la economía y calidad de vida de los productores, con estas acciones se beneficiaron 81,927 hectáreas . Otros Motivos:</t>
    </r>
  </si>
  <si>
    <r>
      <t xml:space="preserve">Superficie tecnificada a nivel parcelario, en Distritos de Riego, con respecto al programado en el ejercicio.
</t>
    </r>
    <r>
      <rPr>
        <sz val="10"/>
        <rFont val="Soberana Sans"/>
        <family val="2"/>
      </rPr>
      <t xml:space="preserve"> Causa :  La meta original fue programada en base al anteproyecto de presupuesto para el ejercicio fiscal 2013.     El presupuesto autorizado al Programa S079 Componente Rehabilitación y Modernización de Distritos de Riego, para el ejercicio fiscal 2013 fue mayor al del presupuesto de anteproyecto.     Así mismo y a efecto de dar cumplimiento al resultado Núm 11, acción 11-0-16-B00-07-0367-07-009 del Informe de Resultados de la Fiscalización Superior de la Cuenta Pública 2011 de la Auditoría 11-0-16-B00-07-0367, en el que señala ¿que la Comisión Nacional del Agua establezca metas anuales que le permitan medir el indicador se Superficie tecnificada a nivel parcelario, en distritos de riego ¿¿, se modificó el numerador y denominador del presente Indicador.     Por otra parte se condicionó el apoyo de esta acción en relación a ejercicios fiscales anteriores,  ya que  con base al Convenio de Colaboración suscrito entre la CONAGUA y SAGARPA  el 15 de julio de 2013, esta acción estará a cargo de la SAGARPA.     Las acciones de esta componente están sujetas a la demanda de las organizaciones de usuarios de los distritos de riego y al tipo de apoyos que soliciten, así como a la oportunidad con que dispongan los propios usuarios beneficiados del 50% del costo total de las obras como contraparte.      Efecto: Las acciones realizadas en obras de tecnificación del riego les permiten a las organizaciones de usuarios de distritos de riego hacer un usos más eficiente del recurso agua en la aplicación del riego, logrando un mejor aprovechamiento de la dotación con mayor eficiencia  e incrementar la producción agrícola y productividad del agua,  y con ello incrementar la economía y calidad de vida de los productores, con estas acciones se beneficiaron 9,032 hectáreas Otros Motivos:</t>
    </r>
  </si>
  <si>
    <r>
      <t xml:space="preserve">Organizaciones de usuarios de los Distritos de Riego beneficiadas con acciones de la Componente Devolución de Pagos por Suministro de Agua en Bloque, con respecto al total de  Organizaciones de Usuarios  contribuyentes.
</t>
    </r>
    <r>
      <rPr>
        <sz val="10"/>
        <rFont val="Soberana Sans"/>
        <family val="2"/>
      </rPr>
      <t xml:space="preserve"> Causa : Al cierre del ejercicio fiscal no se contó con los ingresos excedentes que se solicitaron como ampliaciones líquidas a la SHCP, sin embargo con fundamento en el Articulo.- Quinto (5.3.4.2) de la Reglas de Operación Vigentes,  el cual indica que ¿a fin de cumplir la obligación de la Conagua con los usuarios de los Distritos de Riego para devolver Pagos por concepto de Suministro de Agua en Bloque, éstos se cubrirán con parte de los recursos aprobados en el Presupuesto de Egresos de la Federación en el Programa Presupuestario S079 ¿Rehabilitación, Modernización y Equipamiento de Distritos de Riego¿; siempre y cuando exista Resolución favorable que emita la Unidad de Política de Ingresos de la Subsecretaría de Ingresos de la SHCP, por haber acreditado la recaudación y entero a la TESOFE por el suministro de agua en bloque; mismos que serán restituidos a través de la ampliación líquida que sea autorizada por la Secretaría de Hacienda y Crédito Público¿. Se radicó un importe de  $75, 456,714.00  que beneficiaron a 214 organizaciones de usuarios.  Efecto: Con los beneficios económicos y sociales alcanzados con este indicador de componente se logró que las organizaciones de usuarios realizar obras de conservación que permitieron hacer un uso eficiente y sustentable del recurso agua, mejorando la oportunidad del servicio de riego y contribuyendo a la producción y productividad de las áreas de riego,  mejorando la economía y calidad de vida de sus familias.    Se impulsaron acciones de conservación de la infraestructura concesionada      Otros Motivos:</t>
    </r>
  </si>
  <si>
    <r>
      <t xml:space="preserve">Talleres equipados en el año  
</t>
    </r>
    <r>
      <rPr>
        <sz val="10"/>
        <rFont val="Soberana Sans"/>
        <family val="2"/>
      </rPr>
      <t xml:space="preserve"> Causa :  Se siguen cerrando procesos de licitación con la entrega de  equipamientos de taller, para beneficiar a las Organizaciones de Usuarios.     Efecto: Con los beneficios alcanzados con este indicador de componente se logró que las organizaciones de usuarios equiparan talleres para el cuidado de la maquinaria para la conservación que permitie hacer un uso eficiente y sustentable del recurso agua, mejorando la oportunidad del servicio de riego y contribuyendo a la producción y productividad de las áreas de riego,  mejorando la economía y calidad de vida de sus familias. Otros Motivos:</t>
    </r>
  </si>
  <si>
    <r>
      <t xml:space="preserve">Maquinaria y equipo adquirido en el año. 
</t>
    </r>
    <r>
      <rPr>
        <sz val="10"/>
        <rFont val="Soberana Sans"/>
        <family val="2"/>
      </rPr>
      <t xml:space="preserve"> Causa : Se siguen cerrando procesos de licitación con la entrega de maquinaria, para beneficiar a las Organizaciones de Usuarios. Efecto: Con los beneficios alcanzados con este indicador de componente se logró que las organizaciones de usuarios adquirieran maquinaria para la conservación que permitie hacer un uso eficiente y sustentable del recurso agua, mejorando la oportunidad del servicio de riego y contribuyendo a la producción y productividad de las áreas de riego,  mejorando la economía y calidad de vida de sus familias. Otros Motivos:</t>
    </r>
  </si>
  <si>
    <r>
      <t xml:space="preserve">Maquinaria y equipo rehabilitado en el año. 
</t>
    </r>
    <r>
      <rPr>
        <sz val="10"/>
        <rFont val="Soberana Sans"/>
        <family val="2"/>
      </rPr>
      <t xml:space="preserve"> Causa : Se siguen cerrando procesos de licitación con la entrega de rehabilitaciones de maquinaria  para beneficiar a las Organizaciones de Usuarios. Efecto: Con los beneficios alcanzados con este indicador de componente se logró que las organizaciones de usuarios rehabilitaran maquinaria para la conservación que permitie hacer un uso eficiente y sustentable del recurso agua, mejorando la oportunidad del servicio de riego y contribuyendo a la producción y productividad de las áreas de riego,  mejorando la economía y calidad de vida de sus familias. Otros Motivos:</t>
    </r>
  </si>
  <si>
    <r>
      <t xml:space="preserve">Contratación de obras con respecto al Presupuesto autorizado a contratar en la Componente Rehabilitación y Modernización de Distritos de Riego.
</t>
    </r>
    <r>
      <rPr>
        <sz val="10"/>
        <rFont val="Soberana Sans"/>
        <family val="2"/>
      </rPr>
      <t xml:space="preserve"> Causa : La meta original fue programada en base al anteproyecto de presupuesto para el ejercicio fiscal 2013 a la componente Rehabilitación y Modernización de Distritos de Riego.     El presupuesto autorizado al Programa S079 Componente Rehabilitación y Modernización de Distritos de Riego, para el ejercicio fiscal 2013 fue mayor al del presupuesto de anteproyecto.     La SHCP autorizó ampliación de recursos al Programa S079 Componente Rehabilitación y Modernización de Distritos de Riego.      Efecto: Los apoyos de esta componente,  permite a las organizaciones de usuarios de los distritos de riego realizar acciones en obras de rehabilitación y/o modernización de la infraestructura hidroagrícola de los distritos de riego y tecnificación del riego para lograr un uso eficiente y sustentable del recurso agua desde la red de conducción y distribución hasta la parcela, aumentando la disponibilidad de la misma y logrando un mejor aprovechamiento de la dotación con mayor eficiencia, mejorando la calidad y oportunidad del servicio de riego e incrementar la producción agrícola y productividad del agua, y con ello incrementar la economía y calidad de vida de los productores,  con estas acciones se beneficio una superficie de 90,959 hectáreas y  294 organizaciones de usuarios de riego. Otros Motivos:</t>
    </r>
  </si>
  <si>
    <r>
      <t xml:space="preserve">Contratación de adquisiciones con respecto al presupuesto autorizado a contratar en la Componente Equipamiento
</t>
    </r>
    <r>
      <rPr>
        <sz val="10"/>
        <rFont val="Soberana Sans"/>
        <family val="2"/>
      </rPr>
      <t xml:space="preserve"> Causa :  Se siguen cerrando procesos de licitación con la entrega de maquinaria, rehabilitaciones de maquinaria y equipamientos de taller, para beneficiar a las Organizaciones de Usuarios.     Efecto: Con los beneficios alcanzados con este indicador de componente se logró que las organizaciones de usuarios se beneficiaran con adquisiciones de maquinaria, rehabilitaciones de maquinaria y equipamientos de taller para la conservación que permite hacer un uso eficiente y sustentable del recurso agua, mejorando la oportunidad del servicio de riego y contribuyendo a la producción y productividad de las áreas de riego,  mejorando la economía y calidad de vida de sus familias. Otros Motivos:</t>
    </r>
  </si>
  <si>
    <r>
      <t xml:space="preserve">Formalización de anexos de ejecución y técnicos y/o Convenios de Concertación de la Componente Rehabilitación y Modernización de Distritos de Riego
</t>
    </r>
    <r>
      <rPr>
        <sz val="10"/>
        <rFont val="Soberana Sans"/>
        <family val="2"/>
      </rPr>
      <t xml:space="preserve"> Causa : La meta original fue programada en base al anteproyecto de presupuesto para el ejercicio fiscal 2013.       El presupuesto autorizado al Programa S079 Componente Rehabilitación y Modernización de Distritos de Riego, para el ejercicio fiscal 2013 fue mayor al del presupuesto de anteproyecto.      La SHCP autorizó ampliación de recursos al Programa S079 Componente Rehabilitación y Modernización de Distritos de Riego.       Efecto: La formalización de los recursos en los respectivos documentos jurídicos Anexos de Ejecución y Técnicos y/o Convenios de Concertación, permitió a las organizaciones de usuarios de los distritos de riego realizar acciones en obras de rehabilitación y/o modernización de la infraestructura hidroagrícola concesionada de los distritos de riego y tecnificación del riego para lograr un uso eficiente y sustentable del recurso agua desde la red de conducción y distribución hasta la parcela, aumentando la disponibilidad de la misma y logrando un mejor aprovechamiento de la dotación con mayor eficiencia, mejorando la calidad y oportunidad del servicio de riego e incrementar la producción agrícola y productividad del agua, y con ello incrementar la economía y calidad de vida de los productores, con estas acciones se beneficio una superficie de 90,959 hectáreas y  294 organizaciones de usuarios de riego. Otros Motivos:Se envía a validar</t>
    </r>
  </si>
  <si>
    <r>
      <t xml:space="preserve">Formalización de anexos de ejecución y técnicos y/o Convenios de Concertación de la Componente Equipamiento
</t>
    </r>
    <r>
      <rPr>
        <sz val="10"/>
        <rFont val="Soberana Sans"/>
        <family val="2"/>
      </rPr>
      <t xml:space="preserve"> Causa : Se hicieron en tiempo y forma los procesos para la formalizacion de anexos y convenios en las entidades. Efecto: Con los beneficios alcanzados con este indicador de componente se logró que las organizaciones de usuarios se beneficiaran con adquisiciones de maquinaria, rehabilitaciones de maquinaria y equipamientos de taller para la conservación que permite hacer un uso eficiente y sustentable del recurso agua, mejorando la oportunidad del servicio de riego y contribuyendo a la producción y productividad de las áreas de riego,  mejorando la economía y calidad de vida de sus familias. Otros Motivos:</t>
    </r>
  </si>
  <si>
    <r>
      <t xml:space="preserve">Formalización de Convenios de Concertación de la Componente Devolución de Pagos por Suministro de Agua en Bloque
</t>
    </r>
    <r>
      <rPr>
        <sz val="10"/>
        <rFont val="Soberana Sans"/>
        <family val="2"/>
      </rPr>
      <t xml:space="preserve"> Causa : Las entidades formalizan los convenios conforme a los modelos autorizados que consideran hasta la recaudación esperada del ciclo agrícola 2012 ¿ 2013,por lo cada entidad consideran el importe de recaudación esperada en el año agrícola 2012 ¿ 2013 por concesionaria.  Efecto: Con los beneficios económicos y sociales alcanzados con este indicador de actividad se logró que las organizaciones de usuarios realizar obras de conservación que permitieron hacer un uso eficiente y sustentable del recurso agua, mejorando la oportunidad del servicio de riego y contribuyendo a la producción y productividad de las áreas de riego,  mejorando la economía y calidad de vida de sus familias Otros Motivos:</t>
    </r>
  </si>
  <si>
    <r>
      <t xml:space="preserve">Radicación de recursos a los Fideicomisos Fondo de Fomento Agropecuario Estatal (FOFAE´s) y Organizaciones de Usuarios de Distritos de Riego de la Componente Rehabilitación y Modernización de Distritos de Riego
</t>
    </r>
    <r>
      <rPr>
        <sz val="10"/>
        <rFont val="Soberana Sans"/>
        <family val="2"/>
      </rPr>
      <t xml:space="preserve"> Causa : La meta original fue programada en base al anteproyecto de presupuesto para el ejercicio fiscal 2013.      El presupuesto autorizado al Programa S079 Componente Rehabilitación y Modernización de Distritos de Riego, para el ejercicio fiscal 2013 fue mayor al del presupuesto de anteproyecto.      La SHCP autorizó ampliación de recursos al Programa S079 Componente Rehabilitación y Modernización de Distritos de Riego.       Efecto: La radicación de los recursos a los FOFAE´s y/o Organizaciones de Usuarios de distritos de riego, permitió a las organizaciones de usuarios de los distritos de riego realizar acciones en obras de rehabilitación y/o modernización de la infraestructura hidroagrícola concesionada de los distritos de riego y tecnificación del riego, para lograr un uso eficiente y sustentable del recurso agua desde la red de conducción y distribución hasta la parcela, aumentando la disponibilidad de la misma y logrando un mejor aprovechamiento de la dotación con mayor eficiencia, mejorando la calidad y oportunidad del servicio de riego e incrementar la producción agrícola y productividad del agua, y con ello incrementar la economía y calidad de vida de los productores,  con estas acciones se beneficio una superficie de 90,959 hectáreas y  294 organizaciones de usuarios de riego. Otros Motivos:</t>
    </r>
  </si>
  <si>
    <r>
      <t xml:space="preserve">Radicación de recursos a los Fideicomisos Fondo de Fomento Agropecuario Estatal (FOFAE´s) y Organizaciones de Usuarios  de la Componente Equipamiento
</t>
    </r>
    <r>
      <rPr>
        <sz val="10"/>
        <rFont val="Soberana Sans"/>
        <family val="2"/>
      </rPr>
      <t xml:space="preserve"> Causa : El recurso se radico de acuerdo a la demanda de las Organizaciones de Usuarios, y al recurso disponible de acuerdo a la SHCP Efecto: Con los beneficios alcanzados con este indicador de componente se logró que las organizaciones de usuarios se beneficiaran con adquisiciones de maquinaria, rehabilitaciones de maquinaria y equipamientos de taller para la conservación que permite hacer un uso eficiente y sustentable del recurso agua, mejorando la oportunidad del servicio de riego y contribuyendo a la producción y productividad de las áreas de riego,  mejorando la economía y calidad de vida de sus familias. Otros Motivos:</t>
    </r>
  </si>
  <si>
    <r>
      <t xml:space="preserve">Radicación de recursos a las Organizaciones de Usuarios de la Componente Devolución de Pagos por Suministro de Agua en Bloque
</t>
    </r>
    <r>
      <rPr>
        <sz val="10"/>
        <rFont val="Soberana Sans"/>
        <family val="2"/>
      </rPr>
      <t xml:space="preserve"> Causa : Al cierre del ejercicio fiscal no se contó con la autorización de las ampliaciones líquidas solicitadas a la SHCP, sin embargo con fundamento en el Articulo.- Quinto (5.3.4.2) de la Reglas de Operación Vigentes,  el cual indica que ¿a fin de cumplir la obligación de la Conagua con los usuarios de los Distritos de Riego para devolver Pagos por concepto de Suministro de Agua en Bloque, éstos se cubrirán con parte de los recursos aprobados en el Presupuesto de Egresos de la Federación en el Programa Presupuestario S079 ¿Rehabilitación, Modernización y Equipamiento de Distritos de Riego¿; siempre y cuando exista Resolución favorable que emita la Unidad de Política de Ingresos de la Subsecretaría de Ingresos de la SHCP, por haber acreditado la recaudación y entero a la TESOFE por el suministro de agua en bloque; mismos que serán restituidos a través de la ampliación líquida que sea autorizada por la Secretaría de Hacienda y Crédito Público¿. Se radicó un importe de  $75, 456,714.00 .    Adicionalmente a lo anterior se radicaron $21,803,947.00 para la atención a los daños en la infraestructura de riego de la emergencia meteoerologica por efectos de los Huracanes "Ingrid" y "Manuel". Efecto: Con los beneficios económicos y sociales alcanzados con este indicador de actividad se logró que las organizaciones de usuarios realizar obras de conservación que permitieron hacer un uso eficiente y sustentable del recurso agua, mejorando la oportunidad del servicio de riego y contribuyendo a la producción y productividad de las áreas de riego,  mejorando la economía y calidad de vida de sus familias, asi como la atención a los daños en la infraestructura de riego. Otros Motivos:</t>
    </r>
  </si>
  <si>
    <t>S218</t>
  </si>
  <si>
    <t>Programa de Tratamiento de Aguas Residuales</t>
  </si>
  <si>
    <t>Contribuir a mejorar los servicios de saneamiento en el país, incrementando la infraestructura de plantas de tratamiento de las aguas residuales</t>
  </si>
  <si>
    <r>
      <t>Tratamiento de aguas residuales colectadas</t>
    </r>
    <r>
      <rPr>
        <i/>
        <sz val="10"/>
        <color indexed="30"/>
        <rFont val="Soberana Sans"/>
        <family val="3"/>
      </rPr>
      <t xml:space="preserve">
</t>
    </r>
  </si>
  <si>
    <t>[Caudal de agua residual tratada / Caudal de agua residual colectada]*100</t>
  </si>
  <si>
    <t>El agua residual colectada es tratada.</t>
  </si>
  <si>
    <r>
      <t>Cobertura de agua residual tratada que aporta el Programa.</t>
    </r>
    <r>
      <rPr>
        <i/>
        <sz val="10"/>
        <color indexed="30"/>
        <rFont val="Soberana Sans"/>
        <family val="3"/>
      </rPr>
      <t xml:space="preserve">
Indicador Seleccionado</t>
    </r>
  </si>
  <si>
    <t xml:space="preserve">[Caudal de agua residual tratada con el programa / Caudal de agua residual colectada]*100  </t>
  </si>
  <si>
    <t>A Plantas de Tratamiento de Aguas Residuales construidas, rehabilitadas y/o ampliadas</t>
  </si>
  <si>
    <r>
      <t>Porcentaje de Plantas de Tratamiento construidas, rehabilitadas y/o ampliadas en el ejercicio.</t>
    </r>
    <r>
      <rPr>
        <i/>
        <sz val="10"/>
        <color indexed="30"/>
        <rFont val="Soberana Sans"/>
        <family val="3"/>
      </rPr>
      <t xml:space="preserve">
</t>
    </r>
  </si>
  <si>
    <t>(Número de plantas construidas, rehabilitadas o ampliadas en el ejercicio / Número de plantas convenidas para construir, rehabilitar o ampliar con el programa) * 100</t>
  </si>
  <si>
    <t>B Plantas de Tratamiento de Aguas Residuales que operan cumpliendo la normatividad con apoyo del Programa</t>
  </si>
  <si>
    <r>
      <t>Porcentaje de plantas de tratamiento de aguas residuales operando en cumplimiento con la normatividad con apoyo del Programa</t>
    </r>
    <r>
      <rPr>
        <i/>
        <sz val="10"/>
        <color indexed="30"/>
        <rFont val="Soberana Sans"/>
        <family val="3"/>
      </rPr>
      <t xml:space="preserve">
</t>
    </r>
  </si>
  <si>
    <t>(Número de plantas con apoyo del Programa, que cumplen con la normatividad en el ejercicio / Número de plantas inscritas para apoyo del Programa en el ejercicio)*100</t>
  </si>
  <si>
    <t>A 1 Formalización de los anexos de ejecución y técnicos con entidades federativas.</t>
  </si>
  <si>
    <t>(Entidades Federativas con anexos de ejecución y técnicos formalizados en el año / Entidades Federativas programadas para formalizar anexos de ejecución y técnicos en el año)*100</t>
  </si>
  <si>
    <t>A 2 Transferencia de presupuesto para las entidades federativas para la construcción, rehabilitación y/o ampliación de plantas de tratamiento de aguas residuales.</t>
  </si>
  <si>
    <r>
      <t>Porcentaje de recursos radicados.</t>
    </r>
    <r>
      <rPr>
        <i/>
        <sz val="10"/>
        <color indexed="30"/>
        <rFont val="Soberana Sans"/>
        <family val="3"/>
      </rPr>
      <t xml:space="preserve">
</t>
    </r>
  </si>
  <si>
    <t xml:space="preserve">(Recursos radicados en el ejercicio / recursos autorizados disponibles en el ejercicio)*100 </t>
  </si>
  <si>
    <r>
      <t xml:space="preserve">Tratamiento de aguas residuales colectadas
</t>
    </r>
    <r>
      <rPr>
        <sz val="10"/>
        <rFont val="Soberana Sans"/>
        <family val="2"/>
      </rPr>
      <t xml:space="preserve"> Causa : La variación que se observa radica en que la meta fue modificada para alinearla a la meta programada en el PND, PNI y PNH. Efecto: Menor caudal tratado de aguas residuales municipales del país. Otros Motivos:</t>
    </r>
  </si>
  <si>
    <r>
      <t xml:space="preserve">Cobertura de agua residual tratada que aporta el Programa.
</t>
    </r>
    <r>
      <rPr>
        <sz val="10"/>
        <rFont val="Soberana Sans"/>
        <family val="2"/>
      </rPr>
      <t xml:space="preserve"> Causa : La asignación presupuestal autorizada se ejercio en tiempo y forma, lo que permitio el cumplimiento de la meta del Programa. Efecto: Incremeto del saneamiento de las aguas residuales municipales en el país, de acuerdo a lo programado. Otros Motivos:</t>
    </r>
  </si>
  <si>
    <r>
      <t xml:space="preserve">Porcentaje de Plantas de Tratamiento construidas, rehabilitadas y/o ampliadas en el ejercicio.
</t>
    </r>
    <r>
      <rPr>
        <sz val="10"/>
        <rFont val="Soberana Sans"/>
        <family val="2"/>
      </rPr>
      <t xml:space="preserve"> Causa : Mayores recursos autorizados en el PEF, respecto a los recursos programados originalmente. cabe aclarar que la matriz de cada ejercicio presupuestal se carga en julio o Agosto del año anterior periodo en el que no se cuenta con los recursos que serán autorizados, ya que el PEF para el año 2013 fue publicado en diciembre de 2012, razón por la que las metas establecidas se deben considerar como estimadas. Efecto: Mayores beneficios para la población del país con acciones al amparo de las Reglas de Operación del Programa. Otros Motivos:</t>
    </r>
  </si>
  <si>
    <r>
      <t xml:space="preserve">Porcentaje de plantas de tratamiento de aguas residuales operando en cumplimiento con la normatividad con apoyo del Programa
</t>
    </r>
    <r>
      <rPr>
        <sz val="10"/>
        <rFont val="Soberana Sans"/>
        <family val="2"/>
      </rPr>
      <t xml:space="preserve"> Causa : Mayores recursos autorizados en el PEF, respecto a los recursos programados originalmente. cabe aclarar que la matriz de cada ejercicio presupuestal se carga en julio o Agosto del año anterior periodo en el que no se cuenta con los recursos que serán autorizados, ya que el PEF para el año 2013 fue publicado en diciembre de 2012, razón por la que las metas establecidas se deben considerar como estimadas. Efecto: Mayores beneficios para la población del país con acciones al amparo de las Reglas de Operación del Programa. Otros Motivos:Se acalara que los datos de meta aprobada en su momento fueron cargados y no son visibles, además de que las celdas estan boqueadas y no permiten el registro. Sin embargo se informa que la meta aprobada y la meta modificada son iguales, por lo que en los campos del porcentaje de cumplimiento de la meta en ambos casos tambien son iguales.</t>
    </r>
  </si>
  <si>
    <r>
      <t xml:space="preserve">Porcentaje de Entidades Federativas con Anexos de ejecución y técnicos formalizados 
</t>
    </r>
    <r>
      <rPr>
        <sz val="10"/>
        <rFont val="Soberana Sans"/>
        <family val="2"/>
      </rPr>
      <t xml:space="preserve"> Causa : Al contar con mayores recursos federales autorizados en el PEF 2013, se amplió la formalización de anexos técnicos y de ejecución con las entidades federativas. Efecto: Mayores beneficios para la población del país con acciones al amparo de las Reglas de Operación del Programa. Otros Motivos:</t>
    </r>
  </si>
  <si>
    <r>
      <t xml:space="preserve">Porcentaje de recursos radicados.
</t>
    </r>
    <r>
      <rPr>
        <sz val="10"/>
        <rFont val="Soberana Sans"/>
        <family val="2"/>
      </rPr>
      <t xml:space="preserve"> Causa : Mayores recursos autorizados en el PEF, respecto a los recursos programados originalmente. cabe aclarar que la matriz de cada ejercicio presupuestal se carga en julio o agosto del año anterior periodo en el que no se cuenta con los recursos que serán autorizados, ya que el PEF para el año 2013 fue publicado en diciembre de 2012, razón por la que las metas del los recursos programados se deben considerar como estimadas. Efecto: Mayores beneficios para la población del país con acciones al amparo de las Reglas de Operación del Programa. Otros Motivos:</t>
    </r>
  </si>
  <si>
    <t>S219</t>
  </si>
  <si>
    <t>Programa Nacional Forestal Pago por Servicios Ambientales</t>
  </si>
  <si>
    <t>RHQ-Comisión Nacional Forestal</t>
  </si>
  <si>
    <t>2 - Silvicultura</t>
  </si>
  <si>
    <t>4 - Proárbol: Bosques recuperados, protegidos y productivos</t>
  </si>
  <si>
    <t>Contribuir a mejorar la productividad forestal y la provisión de bienes y servicios ambientales en el país, mediante la incorporación de superficie forestal y preferentemente forestal a esquemas de desarrollo forestal sustentable</t>
  </si>
  <si>
    <r>
      <t>Porcentaje de variación del volumen de producción maderable</t>
    </r>
    <r>
      <rPr>
        <i/>
        <sz val="10"/>
        <color indexed="30"/>
        <rFont val="Soberana Sans"/>
        <family val="3"/>
      </rPr>
      <t xml:space="preserve">
</t>
    </r>
  </si>
  <si>
    <t>[(Volumen de producción maderable en el  año t-1 / Volumen de producción maderable en el año t-2)-1]*100</t>
  </si>
  <si>
    <r>
      <t xml:space="preserve">Porcentaje de permanencia de la superficie forestal del país  </t>
    </r>
    <r>
      <rPr>
        <i/>
        <sz val="10"/>
        <color indexed="30"/>
        <rFont val="Soberana Sans"/>
        <family val="3"/>
      </rPr>
      <t xml:space="preserve">
</t>
    </r>
  </si>
  <si>
    <t>((Superficie forestal de bosques y selvas del país en el año 2015)/(superficie forestal de bosques y selvas del país en el año 2010))*100</t>
  </si>
  <si>
    <t>Estratégico-Eficacia-Quinquenal</t>
  </si>
  <si>
    <t>La superficie forestal y preferentemente forestal es incorporada a esquemas de desarrollo forestal sustentable (procesos de restauración, conservación y aprovechamiento sustentable)</t>
  </si>
  <si>
    <r>
      <t>Porcentaje de superficie forestal conservada y restaurada</t>
    </r>
    <r>
      <rPr>
        <i/>
        <sz val="10"/>
        <color indexed="30"/>
        <rFont val="Soberana Sans"/>
        <family val="3"/>
      </rPr>
      <t xml:space="preserve">
Indicador Seleccionado</t>
    </r>
  </si>
  <si>
    <t>[(Superficie forestal conservada y restaurada acumulada en el periodo) / (Superficie forestal susceptible de restauración)] *100</t>
  </si>
  <si>
    <r>
      <t>Porcentaje de superficie autorizada para el manejo forestal sustentable</t>
    </r>
    <r>
      <rPr>
        <i/>
        <sz val="10"/>
        <color indexed="30"/>
        <rFont val="Soberana Sans"/>
        <family val="3"/>
      </rPr>
      <t xml:space="preserve">
</t>
    </r>
  </si>
  <si>
    <t>[(Superficie que obtiene una autorización para incorporarse al manejo forestal sustentable al año t, apoyada con recursos económicos en el año t-2) /(Superficie apoyada para incorporarse al manejo forestal sustentable en el año t-2  )] *100</t>
  </si>
  <si>
    <r>
      <t>Porcentaje de superficie que permanece vigente en el programa de pago por servicios ambientales.</t>
    </r>
    <r>
      <rPr>
        <i/>
        <sz val="10"/>
        <color indexed="30"/>
        <rFont val="Soberana Sans"/>
        <family val="3"/>
      </rPr>
      <t xml:space="preserve">
</t>
    </r>
  </si>
  <si>
    <t>(Superficie con refrendo de pago en el año t / Superficie total incorporada al pago por servicios ambientales en el periodo t-4 a t-1) *100</t>
  </si>
  <si>
    <t>A Superficie con aptitud forestal apoyada para su incorporación a procesos de restauración forestal de microcuencas.</t>
  </si>
  <si>
    <r>
      <t xml:space="preserve">Porcentaje de sobrevivencia en campo de la reforestación </t>
    </r>
    <r>
      <rPr>
        <i/>
        <sz val="10"/>
        <color indexed="30"/>
        <rFont val="Soberana Sans"/>
        <family val="3"/>
      </rPr>
      <t xml:space="preserve">
</t>
    </r>
  </si>
  <si>
    <t>(Número de plantas vivas en el año t / número total de plantas reforestadas en el ejercicio fiscal t-1)*100</t>
  </si>
  <si>
    <r>
      <t>Porcentaje de cobertura de la meta programada para  restauración forestal</t>
    </r>
    <r>
      <rPr>
        <i/>
        <sz val="10"/>
        <color indexed="30"/>
        <rFont val="Soberana Sans"/>
        <family val="3"/>
      </rPr>
      <t xml:space="preserve">
</t>
    </r>
  </si>
  <si>
    <t>(Superficie con convenio para la ejecución de acciones de restauración integral y restauración complementaria en el año t con recursos provenientes del PEF del año t / Superficie programada para la ejecución de acciones de restauración forestal en el año t) * 100</t>
  </si>
  <si>
    <t>B Superficie establecida con Plantaciones Forestales Comerciales</t>
  </si>
  <si>
    <r>
      <t>Porcentaje de cobertura de superficie con recursos asignados para el establecimiento de plantaciones forestales comerciales</t>
    </r>
    <r>
      <rPr>
        <i/>
        <sz val="10"/>
        <color indexed="30"/>
        <rFont val="Soberana Sans"/>
        <family val="3"/>
      </rPr>
      <t xml:space="preserve">
</t>
    </r>
  </si>
  <si>
    <t>(Superficie con recursos asignados para el establecimiento de plantaciones forestales comerciales en el periodo 2013 a t / Superficie programada para apoyar el establecimiento de plantaciones forestales comerciales en el periodo 2013-2018) * 100</t>
  </si>
  <si>
    <r>
      <t>Porcentaje de superficie establecida con plantaciones forestales comerciales</t>
    </r>
    <r>
      <rPr>
        <i/>
        <sz val="10"/>
        <color indexed="30"/>
        <rFont val="Soberana Sans"/>
        <family val="3"/>
      </rPr>
      <t xml:space="preserve">
</t>
    </r>
  </si>
  <si>
    <t>(Superficie establecida con plantaciones forestales comerciales al año t / Superficie de plantaciones forestales comerciales estimada para satisfacer el déficit de la demanda interna de madera) * 100</t>
  </si>
  <si>
    <t>C Grupos de atención diferenciada (indígenas y mujeres) apoyados a través de Reglas de Operación</t>
  </si>
  <si>
    <r>
      <t>Porcentaje de apoyos otorgados que se ubican en los municipios indígenas de CDI</t>
    </r>
    <r>
      <rPr>
        <i/>
        <sz val="10"/>
        <color indexed="30"/>
        <rFont val="Soberana Sans"/>
        <family val="3"/>
      </rPr>
      <t xml:space="preserve">
</t>
    </r>
  </si>
  <si>
    <t>(Número de apoyos con recurso asignado en el año t que se ubican dentro de los municipios indígenas de CDI / Total de apoyos con recurso asignado en el año t a través del PRONAFOR bajo Reglas de Operación) *100</t>
  </si>
  <si>
    <r>
      <t xml:space="preserve"> Porcentaje de apoyos a través de Reglas de Operación y personas físicas  otorgados a mujeres</t>
    </r>
    <r>
      <rPr>
        <i/>
        <sz val="10"/>
        <color indexed="30"/>
        <rFont val="Soberana Sans"/>
        <family val="3"/>
      </rPr>
      <t xml:space="preserve">
</t>
    </r>
  </si>
  <si>
    <t>(Número de apoyos con recurso asignado en el año t a mujeres / Total de apoyos con recurso asignado a personas físicas en el año t)*100</t>
  </si>
  <si>
    <t>D Superficie forestal apoyada para su incorporación a esquemas de manejo forestal sustentable</t>
  </si>
  <si>
    <r>
      <t xml:space="preserve">Porcentaje de superficie apoyada para la elaboración de Auditoría técnica preventiva y certificación forestal </t>
    </r>
    <r>
      <rPr>
        <i/>
        <sz val="10"/>
        <color indexed="30"/>
        <rFont val="Soberana Sans"/>
        <family val="3"/>
      </rPr>
      <t xml:space="preserve">
</t>
    </r>
  </si>
  <si>
    <t>(Superficie apoyada en el periodo 2013 a t para ejecutar proyectos de auditoría técnica preventiva y certificación forestal/Superficie programada para apoyar proyectos de auditoría técnica preventiva y certificación forestal en el periodo de 2013-2018)*100</t>
  </si>
  <si>
    <r>
      <t>Porcentaje de superficie apoyada para la ejecución de prácticas de cultivo forestal y de mejoramiento del hábitat</t>
    </r>
    <r>
      <rPr>
        <i/>
        <sz val="10"/>
        <color indexed="30"/>
        <rFont val="Soberana Sans"/>
        <family val="3"/>
      </rPr>
      <t xml:space="preserve">
</t>
    </r>
  </si>
  <si>
    <t>(Superficie apoyada en el periodo 2013 a t para ejecutar proyectos cultivo forestal y de mejoramiento del hábitat/ superficie programada para apoyar proyectos de cultivo forestal y de mejoramiento del hábitat en el periodo 2013-2018)*100</t>
  </si>
  <si>
    <r>
      <t xml:space="preserve">Porcentaje de superficie apoyada para su incorporación o reincorporación al manejo técnico forestal.    </t>
    </r>
    <r>
      <rPr>
        <i/>
        <sz val="10"/>
        <color indexed="30"/>
        <rFont val="Soberana Sans"/>
        <family val="3"/>
      </rPr>
      <t xml:space="preserve">
Indicador Seleccionado</t>
    </r>
  </si>
  <si>
    <t xml:space="preserve">(Superficie apoyada acumulada al periodo t  para su incorporación o reincorporación al manejo técnico  / Superficie programada para apoyar su incorporación o reincorporación al manejo técnico durante el periodo 2013-2018)* 100    </t>
  </si>
  <si>
    <t>E Superficie forestal incorporada a esquemas de Pago por servicios ambientales</t>
  </si>
  <si>
    <r>
      <t>Porcentaje de superficie incorporada al pago de servicios ambientales hidrológicos y derivados de la biodiversidad</t>
    </r>
    <r>
      <rPr>
        <i/>
        <sz val="10"/>
        <color indexed="30"/>
        <rFont val="Soberana Sans"/>
        <family val="3"/>
      </rPr>
      <t xml:space="preserve">
Indicador Seleccionado</t>
    </r>
  </si>
  <si>
    <t>(Hectáreas incorporadas acumuladas al periodo t al pago de servicios ambientales hidrológicos y al pago por servicios derivados de la biodiversidad / Hectáreas programadas para incorporarse al pago de servicios ambientales hidrológicos y al pago por servicios derivados de la biodiversidad en el periodo 2013-2018)*100</t>
  </si>
  <si>
    <t>A 1 Realización de primer pago a beneficiarios (actividad transversal)</t>
  </si>
  <si>
    <r>
      <t>Porcentaje de avance en el pago de apoyos a beneficiarios</t>
    </r>
    <r>
      <rPr>
        <i/>
        <sz val="10"/>
        <color indexed="30"/>
        <rFont val="Soberana Sans"/>
        <family val="3"/>
      </rPr>
      <t xml:space="preserve">
</t>
    </r>
  </si>
  <si>
    <t>(Número de apoyos a través de Reglas de Operación que cuentan con pago inicial en el año fiscal) / (Número de apoyos a través de Reglas de Operación con convenio firmado en el ejercicio fiscal)*100</t>
  </si>
  <si>
    <t>A 2 Asignación de apoyos (actividad transversal)</t>
  </si>
  <si>
    <r>
      <t>Porcentaje de cobertura de apoyos del PRONAFOR con recurso asignado a través de Reglas de Operación</t>
    </r>
    <r>
      <rPr>
        <i/>
        <sz val="10"/>
        <color indexed="30"/>
        <rFont val="Soberana Sans"/>
        <family val="3"/>
      </rPr>
      <t xml:space="preserve">
</t>
    </r>
  </si>
  <si>
    <t>(Número de apoyos del PRONAFOR con recurso asignado en el ejercicio fiscal) / (Número de apoyos dictaminados como viables en el año t )*100</t>
  </si>
  <si>
    <t>A 3 Formalización de compromisos con beneficiarios (actividad transversal)</t>
  </si>
  <si>
    <r>
      <t>Porcentaje de cobertura de convenios firmados con beneficiarios a través de Reglas de Operación</t>
    </r>
    <r>
      <rPr>
        <i/>
        <sz val="10"/>
        <color indexed="30"/>
        <rFont val="Soberana Sans"/>
        <family val="3"/>
      </rPr>
      <t xml:space="preserve">
</t>
    </r>
  </si>
  <si>
    <t xml:space="preserve">(Número de apoyos a través de Reglas de Operación con convenio firmado en el ejercicio fiscal) / (Número de apoyos con recurso asignado a través de Reglas de Operación en el ejercicio fiscal)*100 </t>
  </si>
  <si>
    <t>A 4 Dictaminación de apoyos (actividad transversal)</t>
  </si>
  <si>
    <r>
      <t>Porcentaje de cobertura de apoyos dictaminados como viables</t>
    </r>
    <r>
      <rPr>
        <i/>
        <sz val="10"/>
        <color indexed="30"/>
        <rFont val="Soberana Sans"/>
        <family val="3"/>
      </rPr>
      <t xml:space="preserve">
</t>
    </r>
  </si>
  <si>
    <t xml:space="preserve">(Número de apoyos dictaminados como viables en el año t/número de apoyos solicitados en el ejercicio fiscal)*100 </t>
  </si>
  <si>
    <t>E 5 Verificación de predios que se encuentran dentro del esquema de pago por servicios ambientales (PSA)</t>
  </si>
  <si>
    <r>
      <t xml:space="preserve">Porcentaje de predios verficados    </t>
    </r>
    <r>
      <rPr>
        <i/>
        <sz val="10"/>
        <color indexed="30"/>
        <rFont val="Soberana Sans"/>
        <family val="3"/>
      </rPr>
      <t xml:space="preserve">
</t>
    </r>
  </si>
  <si>
    <t>(Número de predios verificados en el año t / Número de predios susceptibles de verificación para recibir refrendo de pago en el año t)*100</t>
  </si>
  <si>
    <r>
      <t xml:space="preserve">Porcentaje de variación del volumen de producción maderable
</t>
    </r>
    <r>
      <rPr>
        <sz val="10"/>
        <rFont val="Soberana Sans"/>
        <family val="2"/>
      </rPr>
      <t xml:space="preserve"> Causa : El volumen de producción maderable en el año 2012 es de 5,910 miles de metros cúbicos rollo. mientras que, en el año 2011 se contabilizó 5,501 miles de metros cúbicos rollo. Esto representa un incremento en la tasa de variación del volumen de producción maderable de 7.44% con respecto al 2011. La variación es debido a que la meta se planteó como una variación de 0%, es decir que el volumen de producción maderable 2012 sea igual al de 2011,  sin embargo, los estados de Colima, Chihuahua, Distrito federal, Durango, Guanajuato, México, Michoacán, Morelos, Nayarit, Nuevo León, Oaxaca, Querétaro, Quintana Roo, Sinaloa, Veracruz y Zacatecas registraron un aumento en la producción, dando un incremento total de 4´673,392 m3r, lo que representó un aumento del 106.8% en relación al incremento del año anterior. Por otra parte, los estados de Aguascalientes, Baja California, Baja California Sur, Campeche, Coahuila, Chiapas, Guerrero, Hidalgo, Jalisco, Puebla, San Luis Potosí, Sonora, Tabasco, Tamaulipas, Tlaxcala y Yucatán registraron un decremento en conjunto de 1´236,901 m3r, representando solamente el 61.8%  del decremento que se tuvo en 2011. Efecto: La producción maderable se espera contribuya a abastecer el consumo aparente de materias primas de tal forma que disminuya la demanda insatisfecha (reducción de la brecha entre producción y consumo aparente). La producción maderable contribuye a generar desarrollo y expansión económica a partir del aprovechamiento sustentable de los recursos forestales, el acceso a los mercados y el incremento de la productividad del sector. Esto se traduce en generación de empleo buscando que las empresas obtengan un certificado verde. Otros Motivos:</t>
    </r>
  </si>
  <si>
    <r>
      <t xml:space="preserve">Porcentaje de superficie forestal conservada y restaurada
</t>
    </r>
    <r>
      <rPr>
        <sz val="10"/>
        <rFont val="Soberana Sans"/>
        <family val="2"/>
      </rPr>
      <t xml:space="preserve"> Causa : La Comisión Nacional Forestal, estableció para 2013 el indicador estratégico ¿Porcentaje de superficie forestal conservada y restaurada¿, a fin de incorporar con eficacia superficie con problemas de degradación a esquemas de restauración, con la participación activa de los dueños o poseedores de los terrenos forestales. Para 2013 se programó realizar acciones de reforestación y restauración integral exclusivamente a través de Reglas de Operación en una superficie de 232 mil hectáreas, lo que representa 1.58% con relación a la superficie de la superficie forestal susceptible de restauración y conservación de 14.7 millones de hectáreas. Al finalizar el ejercicio, se observó un porcentaje de cumplimiento de 86.7% respecto a la meta programada, lo cual significó la realización de obras de conservación y restauración de suelos en 102,151 hectáreas, así como la realización de obras de reforestación en 99,005 hectáreas. Este comportamiento se explica principalmente por lo siguiente: No se registró la suficiente demanda de apoyos dentro de las áreas elegibles, logrando asignar recursos a 115,595 hectáreas para acciones de conservación y restauración de suelos, así como para reforestación, por lo que quedan pendientes de verificación 13,444 hectáreas con obras de conservación y restauración de suelos así como 16,590 hectáreas con obras de reforestación. Las obras de conservación y restauración de suelos, y las de reforestación contaron hasta con un plazo que vence el 29 de noviembre de 2013, excepto las actividades en el Estado de Baja California que contaron con plazo de conclusión hasta el 30 de marzo de 2014, debido a las condiciones de humedad que se requieren para las obras de reforestación, lo que recortó el tiempo para la verificación del cien por ciento de las obras realizada antes del 31 de diciembre de 2013 Efecto: Los beneficios económicos y sociales alcanzados con este indicador de propósito, contribuyeron a revertir el deterioro de los las áreas forestales donde se ejecutaron las obras de conservación y restauración de suelos, así como las obras de reforestación, lo que permite avanzar en la recuperación de los recursos forestales. Con ello, el Ejecutivo Federal, a través de la Comisión Nacional Forestal incorpora superficie a procesos de conservación y restauración forestal, recuperando superficie forestal desprovista de vegetación. Se contribuye a la retención de sedimentos, a la disminución de la erosión del suelo incrementando su productividad, así como a la infiltración de agua. Con las acciones de restauración realizadas se estima que se logra la retención de hasta 19.56 toneladas de sedimentos por hectárea por año y como consecuencia se logra disminuir la erosión del suelo, se incrementa la productividad de éste, así como la infiltración del agua y la recuperación de superficie forestal desprovista de vegetación. Se generaron 3.5 millones de jornales derivados de las actividades que realizaron los beneficiarios y los pobladores en las áreas de cobertura del programa. Otros Motivos:</t>
    </r>
  </si>
  <si>
    <r>
      <t xml:space="preserve">Porcentaje de superficie autorizada para el manejo forestal sustentable
</t>
    </r>
    <r>
      <rPr>
        <sz val="10"/>
        <rFont val="Soberana Sans"/>
        <family val="2"/>
      </rPr>
      <t xml:space="preserve"> Causa : El indicador presenta un cumplimiento del 167,120% respecto a la meta aprobada, debido a que, al mes de diciembre de 2013 se tienen 635,550 hectáreas con una autorización para incorporarse al manejo forestal sustentable, las cuales recibieron apoyos en el 2011 para la elaboración del programa de manejo (maderable y no maderable) por parte de la CONAFOR, mientras que, la meta aprobada considera la superficie contenida en los Programas de Manejo Forestal Maderable que obtienen una autorización para el aprovechamiento y que recibieron apoyo económico de la CONAFOR, la cual se programó en 17,500 hectáreas. Esta diferencia provocó que el porcentaje de cumplimiento del indicador se superara por mucho.    Por su parte, el cumplimiento del indicador respecto a la meta modificada se debe que se siguen planeando cursos de capacitación a los involucrados en el proceso de elaboración, autorización y revisión de programas de manejo, lo que permite obtener mejores resultados en el indicador, así como al seguimiento puntual a las solicitudes apoyadas para ver el estado del trámite a través del número de bitácora en la página de internet de la SEMARNAT. Efecto: Con la superficie autorizada se tiene una producción potencial de 5,096,305 metros cúbicos de madera y de 356,200 toneladas de materias primas forestales no maderables, durante el periodo de vigencia de la autorización. Otros Motivos:</t>
    </r>
  </si>
  <si>
    <r>
      <t xml:space="preserve">Porcentaje de superficie que permanece vigente en el programa de pago por servicios ambientales.
</t>
    </r>
    <r>
      <rPr>
        <sz val="10"/>
        <rFont val="Soberana Sans"/>
        <family val="2"/>
      </rPr>
      <t xml:space="preserve"> Causa : Al mes de diciembre, el indicador presenta un cumplimiento del 98.66% respecto a la meta programada y 99.33% respecto a la meta modificada. Estas variaciones se explican debido al carácter voluntario, por lo que, los beneficiarios pueden optar por desistir a su participación al programa. Asimismo, se explica por los fenómenos hidrometeorológicos e incendios que pueden ocasionar una disminución de la superficie comprometida para el pago por servicios ambientales y finalmente, por el incumplimiento en los compromisos establecidos es motivo de cancelación del apoyo por parte de la CONAFOR.    Efecto: La permanencia de la superficie en el programa de servicios ambientales asegura el mantenimiento de los servicios ambientales hidrológicos y derivados de la biodiversidad de los predios apoyados en los ecosistemas forestales del país. Otros Motivos:Se envía a validar</t>
    </r>
  </si>
  <si>
    <r>
      <t xml:space="preserve">Porcentaje de sobrevivencia en campo de la reforestación 
</t>
    </r>
    <r>
      <rPr>
        <sz val="10"/>
        <rFont val="Soberana Sans"/>
        <family val="2"/>
      </rPr>
      <t xml:space="preserve"> Causa : Este indicador mide la eficacia de la reforestación en términos de porcentaje de plantas que logran sobrevivir un año después de que fueron plantadas, considerando que debieron adaptarse a las condiciones de los terrenos sujetos a procesos de deterioro por erosión y degradación de la cubierta vegetal y que además logaron superar un ciclo climatológico: la temporada de invierno y el periodo de estiaje del año posterior al que fueron establecidas. La meta programada para 2013 fue alcanzar el 48% de sobrevivencia, alcanzando un porcentaje de sobrevivencia del 33.6%, (valor que se obtuvo apartir del Monitoreo y Evaluación Complementaria de los apoyos de Reforestación y Suelos 2012, y  Monitoreo de los apoyos de Plantaciones Forestales Comerciales 2010 y 2011).  Un factor determinante para este resultado ha sido la reducida disponibilidad de agua debido a la sequía atípica que se registra en la parte norte y noroeste del país, así como las lluvias que se registraron en la parte central del país Efecto: Las acciones realizadas permitirán en el  mediano y largo plazo contribuir a detener la degradación ambiental de los ecosistemas forestales y mantener ciertos servicios ambientales básicos como son la recarga acuíferos, captura de carbono, conservación de suelo e incremento de su productividad y la protección de la biodiversidad entre otros. Se recupera la superficie forestal desprovista de vegetación con beneficios económicos y ambientales, así como aprovechamientos persistentes y sustentables. Se contribuye a la retención de sedimentos y como consecuencia la disminución de erosión del suelo, incrementando la productividad de éste, mejorando la calidad e infiltración del agua.  Se revierte el deterioro de las áreas forestales degradadas donde se ejecutaron las acciones de reforestación. Otros Motivos:</t>
    </r>
  </si>
  <si>
    <r>
      <t xml:space="preserve">Porcentaje de cobertura de la meta programada para  restauración forestal
</t>
    </r>
    <r>
      <rPr>
        <sz val="10"/>
        <rFont val="Soberana Sans"/>
        <family val="2"/>
      </rPr>
      <t xml:space="preserve"> Causa : Al mes de diciembre se han firmado 5,247 apoyos para la ejecución de acciones de restauración integral y restauración complementaria en 115,487 hectáreas. Esta cifra representa un cumplimiento del 82.4 respecto a la superficie programada para la ejecución de acciones de restauración integral y restauración complementaria. La variación se debe al desinterés de algunos beneficiarios que se traduce en la cancelación y desistimiento de los apoyos otorgados, así como a la reducción de los tiempos  para la ejecución de las actividades que derivó de la extemporaneidad en la publicación de las Reglas de Operación. Efecto: En general los impactos ambientales y económicos que se generan en beneficio de la población, son la conservación y restauración de suelos, la retención de sedimentos y como consecuencia la disminución de erosión del suelo, se incrementa la productividad de éste, así como la infiltración del agua, además se incrementa y recupera la superficie forestal desprovista de vegetación en donde se realizan acciones de reforestación, al realizar dichas actividades se generan jornales y actividades por los beneficiarios de los apoyos y pobladores de la comunidad quienes son remunerados por los trabajos realizados en las áreas de cobertura del programa. Otros Motivos:Adicionalmente con recursos provenientes del Lineamiento de operación para la restauración forestal de áreas elegibles complementarias del programa nacional forestal 2013 se firmaron con convenio un total de 24,606.5 hectáreas, por lo que, considerando ambas fuentes de recursos se tienen, al mes de diciembre, 140,093 hectáras con convenio firmado.</t>
    </r>
  </si>
  <si>
    <r>
      <t xml:space="preserve">Porcentaje de cobertura de superficie con recursos asignados para el establecimiento de plantaciones forestales comerciales
</t>
    </r>
    <r>
      <rPr>
        <sz val="10"/>
        <rFont val="Soberana Sans"/>
        <family val="2"/>
      </rPr>
      <t xml:space="preserve"> Causa : El indicador presenta un cumplimiento del 53.62% respecto a la meta aprobada, debido a que, el nuevo enfoque de la política forestal busca aprovechar el potencial de México en cuanto a plantaciones forestales comerciales, de ahí que, la superficie programada para apoyar el establecimiento de plantaciones forestales comerciales en el periodo 2013-2018, haya pasado de 180,000 hectáreas a 333,000 hectáreas, con lo cual se reduce la relación establecida por el indicador en 7.73 puntos porcentuales.   De igual forma, durante el periodo enero-diciembre se asignaron apoyos para el establecimiento de 29,758 hectareas de plantaciones forestales comerciales, lo que representa el cumplimiento del 90.2% con respecto a la meta modificada. La variación en el cumplimiento de esta meta con respecto a lo programado, radica en que con el presupuesto disponible se realizó una mayor proporción en la asignación a solicitudes para establecer plantaciones forestales comerciales del tipo maderable, cuyo monto por superficie es mayor que para las no maderables ($10,500/ha vs $4,200/ha). Efecto: Con la superficie de plantaciones forestales comerciales a la que se le asignó los apoyos, se espera que se incremente la superficie nacional de plantaciones forestales comerciales establecida, lo que contribuirá a generar fuentes de  empleo permanentes y temporales, asi como la provisión futura de materias primas forestales para abastecer la demanda nacional de estos productos. Otros Motivos:Adicionalmente, se asignaron apoyos para el establecimiento de 9,869 hectáreas de plantaciones forestales comerciales a través de los "Lineamientos para la asignación y operación estatal de apoyos a proyectos de plantaciones forestales comeciales", por lo que en total, durante el perioro enero-diciembre se apoyaron un total de 39,627 hectáreas.</t>
    </r>
  </si>
  <si>
    <r>
      <t xml:space="preserve">Porcentaje de superficie establecida con plantaciones forestales comerciales
</t>
    </r>
    <r>
      <rPr>
        <sz val="10"/>
        <rFont val="Soberana Sans"/>
        <family val="2"/>
      </rPr>
      <t xml:space="preserve"> Causa : Al mes de diciembre del 2013 se tiene un cumplimiento del 100.29% con respecto a la meta aprobada y de 100% respecto a la meta modificada. Estas variaciones son debido a que, se presentaron informes de sobrevivencia inicial por parte de los beneficiarios para el cobro de los apoyos asignados en 92 hectáreas más de las programadas, por lo que, se tiene un total de 267,543 hectáreas establecidas.    Efecto: Con la superficie de plantaciones forestales comerciales verificada y pagada durante el periodo que se reporta, se incrementó en un 10.5% la superficie de plantaciones forestales comerciales en el país, lo que está contribuyendo a generar empleo en las regiones en las que se desarrollan las plantaciones, además de representar una futura fuente de ingresos económicos por la comercialización de las materias primas forestales que se derivan de las plantaciones. Algunas de estas plantaciones forestales establecidas a principios de la década anterior, ya han sido aprovechadas y sus productos han sido a su vez industrializados y comercializados. Otros Motivos:Adicionalmente, se presentaron y verificaron para su pago, 50 informes de sobrevivencia inicial de plantaciones forestales comerciales establecidas por los beneficiarios, para una superficie de 2,118 hectáreas que cuentan con recursos asignados a través de los "Lineamientos para la asignación y operación estatal de apoyos a proyectos de plantaciones forestales comeciales". Con esta superficie, se tiene un total de 269,661 hectáreas de plantaciones forestales comerciales establecidas en el País.</t>
    </r>
  </si>
  <si>
    <r>
      <t xml:space="preserve">Porcentaje de apoyos otorgados que se ubican en los municipios indígenas de CDI
</t>
    </r>
    <r>
      <rPr>
        <sz val="10"/>
        <rFont val="Soberana Sans"/>
        <family val="2"/>
      </rPr>
      <t xml:space="preserve"> Causa : El indicador presenta un cumplimiento del 115.4% respecto a la meta aprobada, debido a que, al mes de diciembre se han asigando recursos a 11,453 apoyos, de los cuales, 5,654 apoyos se ubican dentro de los municipios indigenas de CDI. Esto significa que el 49.37% de los apoyos con recurso asignado se localizan dentro de estos municipios. A partir de la difusión y divulgación de los diferentes esquemas de apoyos que se otorgan, se espera cubrir la mayor superficie, sin embargo, el número de apoyos asignados está en función a la demanda, viabilidad y magnitud de los proyectos. Efecto: El efecto es positivo, pues con los apoyos otorgados en los municipios indigenas de CDI se espera  que los beneficiarios  según el apoyo otorgado, fortalezcan el capital social y humano, desarrollen capacidades de gestión, atiendan los problemas de la disminución de la superficie forestal, la degradación de los bosques y selvas, así como el cambio de uso del suelo forestal que se presentan actualmente en estos territorios. Otros Motivos:</t>
    </r>
  </si>
  <si>
    <r>
      <t xml:space="preserve"> Porcentaje de apoyos a través de Reglas de Operación y personas físicas  otorgados a mujeres
</t>
    </r>
    <r>
      <rPr>
        <sz val="10"/>
        <rFont val="Soberana Sans"/>
        <family val="2"/>
      </rPr>
      <t xml:space="preserve"> Causa : Este indicador presenta un cumplimiento del 112.68% respecto a la meta aprobada, debido a que, durante el periodo enero-diciembre 2013 se cuenta con 1,958 apoyos con recursos asignados a mujeres, lo que representa el 22.65% del total de apoyos con recursos asignados a personas físicas, que hasta el momento se contabilizan en 8,646. Personal de la CONAFOR realiza la difusión y divulgación de los diferentes esquemas de apoyo, sin embargo, el número de apoyos asignados se relaciona con la demanda, la viabilidad y la magnitud de los proyectos.  Efecto: Con la asignación de apoyos a las personas beneficiarias (según concepto de apoyo otorgado) se espera que se fortalezca el capital social y humano, se desarrollen capacidades de gestión, se atiendan los problemas de la disminución de la superficie forestal, la degradación de los bosques y selvas, así como el cambio de uso del suelo forestal que se presentan actualmente en estos territorios. Otros Motivos:</t>
    </r>
  </si>
  <si>
    <r>
      <t xml:space="preserve">Porcentaje de superficie apoyada para la elaboración de Auditoría técnica preventiva y certificación forestal 
</t>
    </r>
    <r>
      <rPr>
        <sz val="10"/>
        <rFont val="Soberana Sans"/>
        <family val="2"/>
      </rPr>
      <t xml:space="preserve"> Causa : Al mes de diciembre se han apoyado 684,799.65 hectáreas para ejecutar proyectos de ATP y certificación forestal, con lo que se logra un cumplimiento del 171.14% respecto a la meta aprobada y la modificada. Esta variación se debe a que, más del 50% de los predios apoyados tienen superficies mayores a 1,000 hestáreas, por lo que entre más predios grandes se apoyen el costo por hectárea disminuye, lo que ocasiona que se alcance una mayor superficie con el mismo presupuesto. Asimismo, dentro de la estrategia nacional para incrementar la producción y productividad forestal maderable se ha considerado como vital impulsar los procesos de certificación, y se han sumado esfuerzos para tal fin a través del Proyecto ¿Transformar el manejo de bosques de producción comunitarios ricos en biodiversidad mediante la creación de capacidades nacionales para el uso de instrumentos basados en el mercado¿, impulsado por el PNUD, el GEF, Rainforest Alliance y CONAFOR Efecto: El efecto es positivo, pues con una mayor superficie y cantidad de predios que cuenten con algún tipo de certificación, se asegura un adecuado cumplimiento a los programas de manejo forestal y que los aprovechamientos forestales que se realizan cuenten con criterios de sustentabilidad establecidos en la norma oficial mexicana y con criterios de sustentabilidad establecidos en los estándares aplicables. Otros Motivos:</t>
    </r>
  </si>
  <si>
    <r>
      <t xml:space="preserve">Porcentaje de superficie apoyada para la ejecución de prácticas de cultivo forestal y de mejoramiento del hábitat
</t>
    </r>
    <r>
      <rPr>
        <sz val="10"/>
        <rFont val="Soberana Sans"/>
        <family val="2"/>
      </rPr>
      <t xml:space="preserve"> Causa : El indicador presenta un cumplimiento del 94.96% respecto a la meta aprobada y 123.86% respecto a la meta modificada. Las variaciones son consecuencia de que, al mes de diciembre se han asignado recursos para apoyar las acciones de cultivo forestal en una superficie de 570,009.53 ha, de las cuales se han asignado recursos 393,622.32 hectáreas para ejecutar prácticas de manejo para aprovechamientos de la vida silvestre, las cuales tienen un menor costo por hectárea. Efecto: Con la inversión que se tiene para el desarrollo de las actividades, se espera que se generen cerca de 944 mil jornales. Otros Motivos:Se han asignado recursos a solicitudes viables para que en superficies bajo aprovechamiento maderable, no maderable y de la vida silvestre puedan realizarse prácticas que permitan propiciar el óptimo aprovechamiento de la productividad de los terrenos forestales bajo aprovechamiento, así como tambien asegurar que se mantiene el potencial productivo de los terrenos bajo manejo.</t>
    </r>
  </si>
  <si>
    <r>
      <t xml:space="preserve">Porcentaje de superficie apoyada para su incorporación o reincorporación al manejo técnico forestal.    
</t>
    </r>
    <r>
      <rPr>
        <sz val="10"/>
        <rFont val="Soberana Sans"/>
        <family val="2"/>
      </rPr>
      <t xml:space="preserve"> Causa : La Comisión Nacional Forestal para 2013, estableció el indicador de gestión ¿Porcentaje de superficie apoyada para su incorporación o reincorporación al manejo técnico forestal¿, que mide la eficacia en el apoyo a la incorporación de superficie en hectáreas para su incorporación al aprovechamiento sustentable de recursos forestales maderables en zonas de reactivación de la producción y productividad forestal con una meta programada de 16.67% de la superficie programada a apoyar en el periodo 2013-2018 (4,200,000). Al cierre del año, se alcanzó una meta de 20.30% debido a que se apoyó la incorporación de 852,613.64 hectáreas al aprovechamiento sustentable, lo que significó un porcentaje de cumplimiento de 121.77% respecto de la meta aprobada. Este comportamiento se explica principalmente por lo siguiente: Como resultado de la promoción del programa se registró una demanda suficiente con proyectos viables de alto impacto y de menor costo.    Las Reglas de Operación 2014 contemplaron como elegibles para recibir apoyos tanto a productores potenciales, como a aquellos que cuentan con un permiso de autorización o que cuentan con empresas forestales comunitarias constituidas, asimismo se abrió la posibilidad de que en las zonas de reactivación se pudieran apoyar superficies mayores a 5,000 ha, situación que anteriormente no se permitía y se amplió el plazo de entrega del Programa de Manejo a la SEMARNAT para los predios con superficies mayores a 5,000 ha Efecto: Con este indicador de componente el Gobierno Federal cumple con apoyar la incorporación de superficie forestal al manejo técnico con la finalidad de contribuir a incrementar la producción forestal maderable y disminuir el saldo negativo de la balanza comercial de productos forestales maderables. Con las actividades realizadas a través de este indicador, se benefició un total de 533 unidades de producción dentro de las zonas de reactivación de la producción y productividad forestal maderable. Se dio cobertura a 11 Entidades Federativas del país que están incluidos dentro de las zonas de reactivación y se asignaron recursos dentro de 22 municipios incluidos en la cruzada nacional contra el hambre. Con la superficie asignada se espera la generación de 149 mil jornales durante la elaboración de los programas de manejo. Se estima que el volumen total de aprovechamiento que será autorizado para ésta superficie sea de 13.34 millones de metros cúbicos, para ser aprovechados en un periodo aproximado de10 años, es decir una contribución anual a la producción forestal maderable de 1.33 millones de metros cúbicos Otros Motivos:</t>
    </r>
  </si>
  <si>
    <r>
      <t xml:space="preserve">Porcentaje de superficie incorporada al pago de servicios ambientales hidrológicos y derivados de la biodiversidad
</t>
    </r>
    <r>
      <rPr>
        <sz val="10"/>
        <rFont val="Soberana Sans"/>
        <family val="2"/>
      </rPr>
      <t xml:space="preserve"> Causa : Para 2013, la Comisión Nacional Forestal estableció el indicador estratégico ¿Superficie forestal incorporada a esquemas de Pago por servicios ambientales¿, mediante el cual el Ejecutivo Federal apoya con eficacia la incorporación de superficie con cobertura forestal al pago de servicios ambientales, para asegurar su permanencia y la provisión de sus servicios ambientales a la sociedad. La meta programada fue de 16.67% de la superficie programada a incorporar en el periodo 2013-2018 (2,760,000). Al cierre del año se alcanzó una meta de 15.68%, lo que significó un porcentaje de cumplimiento de 94.06% en relación a la meta aprobada, este comportamiento se explica por lo siguiente: Se registró una disminución presupuestal por un monto de $151,179,437.47 (Ciento cincuenta y un millones ciento setenta y nueve mil cuatrocientos treinta y siete pesos 47/100 M.N.) debido a que la Oficialía Mayor de SEMARNAT llevó a cabo una reserva presupuestal aplicada al cierre de Mayo 2013 por parte de la SHCP al Sector del Medio Ambiente y Recursos Naturales, afectando el presupuesto correspondiente al Programa de Servicios Ambientales notificado mediante oficio CGA-792-2013 de fecha 06 de junio de 2013. Efecto: Con los beneficios económicos y sociales alcanzados con este indicador de componente se logró apoyar 637 solicitudes, de las cuales 450 corresponden a personas morales y de estas 435 pertenecen a ejidos y comunidades distribuidas en todas las Entidades Federativas del País.   El impacto o beneficio ambiental de los predios apoyados durante 2013 no se presenta en el corto plazo; sin embargo, los datos históricos correspondientes al periodo 2009-2012, indican que el 98.34 por ciento de la superficie apoyada han cumplido los compromisos adquiridos por los beneficiarios, para mantener en conservación las áreas incorporadas, con lo cual se promueve la infiltración/provisión de agua en mayor calidad y cantidad que en suelos deforestados, la reducción de emisiones de bióxido de carbono y la captura de carbono proveniente de contaminantes y componentes naturales, así como la generación de oxígeno y el amortiguamiento del impacto de los fenómenos naturales, además de que ha generado un ingreso adicional a los dueños y poseedores de los recursos forestales en el medio rural para complementar su ingreso y generar jornales en las actividades de protección y conservación.   A través de la ejecución de los Programa de Mejores Prácticas de Manejo (PMPM) y la selección de actividades de las Guías de Mejores Prácticas de Manejo (GMPM), los beneficiarios 2013 destinaron un mínimo del 30 % del recurso recibido en su primera anualidad a la realización de actividades físicas de conservación y restauración (entre las que se cuentan obras para la conservación de suelo, restauración de cárcavas y reforestación), de vigilancia (prevención y control de incendios forestales, etc.), productivas como la producción de planta en vivero y de fortalecimiento del capital social (actividades de organización y de planificación participativa), con lo que fue posible el pago y la generación de 338,211 jornales. Otros Motivos:Adicionalmente, con recursos provenientes de los intereses generados en el Fondo Forestal Mexicano, se apoyó una superficie de 38,576.29 hectáreas, por lo que considerando ambas fuentes de recursos se apoyaron un total de 471,387 hectáreas, de las cuales 247,974.01 hectáreas corresponden a la modalidad B2.1 Servicios Ambientales Hidrológicos y 223,413.83 hectáreas a la modalidad B2.2 Conservación de la Biodiversidad.</t>
    </r>
  </si>
  <si>
    <r>
      <t xml:space="preserve">Porcentaje de avance en el pago de apoyos a beneficiarios
</t>
    </r>
    <r>
      <rPr>
        <sz val="10"/>
        <rFont val="Soberana Sans"/>
        <family val="2"/>
      </rPr>
      <t xml:space="preserve"> Causa : El indicador presenta un cumplimiento del 90.82% respecto a la meta aprobada y del 91.91% de la meta modificada, debido a que, durante el periodo enero-diciembre, 10,994 apoyos han firmado convenio, de los cuales a 9,686 se le han realizado los primeros pagos, lo que representa que el 88.1% de los apoyos firmados hayan recibido su primer pago. Esta variación es consecuecnia del retraso que se registró en la publicación de las Reglas de Operación 2013, lo que a su vez retrasa las etapas subsecuentes del proceso de asignación de apoyos. Efecto: Los efectos son positivos ya que se espera que con la formalización de compromisos y liberación de pagos, los beneficiarios comiencen las distintas acciones que deberán realizar de acuerdo al apoyo otorgado y con ello y contribuir a detener o revertir la degradación de los bosques y selvas, así como el cambio de uso del suelo forestal que se presentan actualmente en estos territorios. Otros Motivos:</t>
    </r>
  </si>
  <si>
    <r>
      <t xml:space="preserve">Porcentaje de cobertura de apoyos del PRONAFOR con recurso asignado a través de Reglas de Operación
</t>
    </r>
    <r>
      <rPr>
        <sz val="10"/>
        <rFont val="Soberana Sans"/>
        <family val="2"/>
      </rPr>
      <t xml:space="preserve"> Causa : Durante el periodo enero-diciembre se dictaminaron como viables un total de 16,363 apoyos, de los cuales a 11,453 se les asignó recurso, esto significa que, el 70% de los apoyos viables cuenta con recurso asignado. La variaicón es consecuencia de que, el personal de las Gerencias Estatales de la CONAFOR realiza la difusión y promoción de las diferentes categorías de apoyos, sin embargo, los programas son de carárter voluntario, por lo que, el cumplimiento está en función a la demanda que exista para cada uno de los apoyos. Efecto: Los efectos para este indicador son positivos, ya que se espera cubrir la mayor cantidad de apoyos que resulten como factibles, para poder apoyar una mayor superficie, y contribuir a detener o revertir la degradación de los bosques y selvas, así como el cambio de uso del suelo forestal que se presentan actualmente en estos territorios Otros Motivos:</t>
    </r>
  </si>
  <si>
    <r>
      <t xml:space="preserve">Porcentaje de cobertura de convenios firmados con beneficiarios a través de Reglas de Operación
</t>
    </r>
    <r>
      <rPr>
        <sz val="10"/>
        <rFont val="Soberana Sans"/>
        <family val="2"/>
      </rPr>
      <t xml:space="preserve"> Causa : El indicador presenta un cumplimiento del 98.21% respecto a la meta aprobada y 96.73 respecto a la meta modificada, debid a que, durante el periodo enero-diciembre de 2013, selogró asignar recursos 11,453 apoyos, de los cuales el 95.56% cuentan con convenio firmado (10,994). La solicitud, viablidad y asignación de los recursos, está directamente relacionado con la demanda y magnitud de los proyectos, esto a su vez impacta la firma de convenios de aquellos apoyos a los que se les asignó recurso. Efecto: Los efectos son positivos ya que se espera que con la formalización de compromisos los beneficiarios  comiencen en tiempo y forma las distintas acciones que deberán realizar de acuerdo al apoyo otorgado y con ello contribuir a la degradación de los bosques y selvas, así como el cambio de uso del suelo forestal que se presentan actualmente en estos territorios. Otros Motivos:</t>
    </r>
  </si>
  <si>
    <r>
      <t xml:space="preserve">Porcentaje de cobertura de apoyos dictaminados como viables
</t>
    </r>
    <r>
      <rPr>
        <sz val="10"/>
        <rFont val="Soberana Sans"/>
        <family val="2"/>
      </rPr>
      <t xml:space="preserve"> Causa : Al mes de diciembre de 2013, el indicador presenta un cumplimiento del 102.5% respecto a la meta aprobada y de 105.12% respecto a la meta modificada, debido a que, con los trabajos realizados por personal de CONAFOR, como son la difusión de la publicación, recepción, evaluación técnica, durante enero-diciembre de 2013, se tiene 24,834 apoyos solicitados a través de Reglas de operación, de los cuales se dictaminaron como viables 16,363, es decir el 65.9% del total de apoyos recibidos. Sin embargo, la solicitud, y viablidad de los apoyos está directamente relacionado con la demanda y magnitud de los proyectos. Efecto: Los efectos para este indicador son positivos, ya que se espera cubrir la mayor cantidad de apoyos que resulten como factibles, para así poder apoyar una mayor superficie, y contribuir detener o revertir la degradación de los bosques y selvas, así como el cambio de uso del suelo forestal que se presentan actualmente en estos territorios. Otros Motivos:</t>
    </r>
  </si>
  <si>
    <r>
      <t xml:space="preserve">Porcentaje de predios verficados    
</t>
    </r>
    <r>
      <rPr>
        <sz val="10"/>
        <rFont val="Soberana Sans"/>
        <family val="2"/>
      </rPr>
      <t xml:space="preserve"> Causa : Durante el periodo enero-diciembre se verificaron un total de 1,984 predios vigentes, de los cuales  561 corresponden al ejercicio fiscal 2009, 532 al 2010, 380 al 2011 y 511 al ejercicio fiscal 2012. Esto significa un cumplimiento del 100.76% respecto a la meta anual programada. La variación obedece a que las condiciones climatológicas y sociales existentes en el país, obligaron a que algunos predios adicionales fueran verificados vía satélite. Efecto: Las verificaciones de los predios 2009-2012 dan cuenta del cumplimiento de los compromisos contraídos por los beneficiarios con el Programa, ello permite que puedan recibir el refrendo de pago por servicios ambientales correspondiente, lo que garantiza la conservación del uso de suelo incorporado al programa y por lo tanto el mantenimiento de los servicios ambientales en las áreas apoyadas. Otros Motivos:</t>
    </r>
  </si>
  <si>
    <t>U012</t>
  </si>
  <si>
    <t>Prevención y gestión integral de residuos</t>
  </si>
  <si>
    <t>612-Dirección General de Fomento Ambiental, Urbano y Turístico</t>
  </si>
  <si>
    <t>7 - Regulación de las actividades económicas y sociales para la protección del medio ambiente y recursos naturales.</t>
  </si>
  <si>
    <t>El país contribuye a garantizar una adecuada calidad del aire, agua y suelo consolidando el marco regulatorio y aplicando políticas para prevenir, reducir y controlar la contaminación, haciendo una gestión integral de los residuos y remediando los sitios contaminados</t>
  </si>
  <si>
    <r>
      <t xml:space="preserve">Porcentaje de reducción de residuos sólidos urbanos enviados a disposición final </t>
    </r>
    <r>
      <rPr>
        <i/>
        <sz val="10"/>
        <color indexed="30"/>
        <rFont val="Soberana Sans"/>
        <family val="3"/>
      </rPr>
      <t xml:space="preserve">
</t>
    </r>
  </si>
  <si>
    <t xml:space="preserve">C = 100 - (sum (ri1 + ri2 + ri3 + .........rin) / rt*100   </t>
  </si>
  <si>
    <t>Se incrementan en el País los residuos sólidos urbanos (RSU) manejados integralmente, aprovechando al máximo su potencial, y dispuestos apropiadamente en la menor cantidad posible</t>
  </si>
  <si>
    <r>
      <t>Proporción total de residuos gestionados de manera integral</t>
    </r>
    <r>
      <rPr>
        <i/>
        <sz val="10"/>
        <color indexed="30"/>
        <rFont val="Soberana Sans"/>
        <family val="3"/>
      </rPr>
      <t xml:space="preserve">
Indicador Seleccionado</t>
    </r>
  </si>
  <si>
    <t xml:space="preserve">RTGI = (rpeg1+rpeg2+rpeg3+...+rpeg32) / ( ri1+ri2+ri3+...+rin ) </t>
  </si>
  <si>
    <t>toneladas totales anuales</t>
  </si>
  <si>
    <t>A Fomento para la realización de Infraestructura para el manejo integral de residuos desarrollada y en operación</t>
  </si>
  <si>
    <r>
      <t>Porcentaje de residuos sólidos urbanos procesados o dispuestos en nueva infraestructura</t>
    </r>
    <r>
      <rPr>
        <i/>
        <sz val="10"/>
        <color indexed="30"/>
        <rFont val="Soberana Sans"/>
        <family val="3"/>
      </rPr>
      <t xml:space="preserve">
</t>
    </r>
  </si>
  <si>
    <t>C= (Sum (ri1+ri2+ri3+...+rin) +  Sum (rd1+rd2+rd3+...+rdn)) / rt*100</t>
  </si>
  <si>
    <t>ton/año</t>
  </si>
  <si>
    <t>B Fomento para la elaboración de Programas de Prevención y Gestión Integral de Residuos</t>
  </si>
  <si>
    <r>
      <t>Porcentaje de residuos sólidos urbanos gestionados a través de Programas Estatales de Prevención y Gestión Integral de Residuos</t>
    </r>
    <r>
      <rPr>
        <i/>
        <sz val="10"/>
        <color indexed="30"/>
        <rFont val="Soberana Sans"/>
        <family val="3"/>
      </rPr>
      <t xml:space="preserve">
</t>
    </r>
  </si>
  <si>
    <t>RGP = (Sum(rpeg1+rpeg2+rpeg3+.......rpeg32) / rt )*100</t>
  </si>
  <si>
    <t>A 1 Gestionar los proyectos de regularización (clausuras y saneamientos) de sitios de disposición final de residuos sólidos inadecuados</t>
  </si>
  <si>
    <r>
      <t>Número de proyectos financiados para la regularización y clausura de sitios de disposición final inadecuados</t>
    </r>
    <r>
      <rPr>
        <i/>
        <sz val="10"/>
        <color indexed="30"/>
        <rFont val="Soberana Sans"/>
        <family val="3"/>
      </rPr>
      <t xml:space="preserve">
</t>
    </r>
  </si>
  <si>
    <t>a= pfr1+ pfr2+...+pfrn</t>
  </si>
  <si>
    <t>Numero de proyectos financiados para la regularizacion y clausura</t>
  </si>
  <si>
    <t>A 2 Gestionar los proyectos de obra e infraestructura (rellenos sanitarios, centros integrales de manejo y centros de tratamiento) para el manejo adecuado de los residuos sólidos</t>
  </si>
  <si>
    <r>
      <t>Número de instalaciones financiadas para el procesamiento de residuos sólidos</t>
    </r>
    <r>
      <rPr>
        <i/>
        <sz val="10"/>
        <color indexed="30"/>
        <rFont val="Soberana Sans"/>
        <family val="3"/>
      </rPr>
      <t xml:space="preserve">
</t>
    </r>
  </si>
  <si>
    <t xml:space="preserve"> a= pfp1+pfp2+...+pfpn</t>
  </si>
  <si>
    <t>Número de instalaciones financiadas</t>
  </si>
  <si>
    <t>B 3 Gestionar los Programas de Prevención y Gestión Integral de Residuos para los gobiernos locales. Nota: Gestión implica al conjunto de actividades (evaluación, seguimiento y transferencia de recursos) realizadas para concretar un proyecto</t>
  </si>
  <si>
    <r>
      <t>Porcentaje de Entidades Federativas con Programas de Prevención y Gestión Integral de Residuos elaborados</t>
    </r>
    <r>
      <rPr>
        <i/>
        <sz val="10"/>
        <color indexed="30"/>
        <rFont val="Soberana Sans"/>
        <family val="3"/>
      </rPr>
      <t xml:space="preserve">
</t>
    </r>
  </si>
  <si>
    <t xml:space="preserve">C= (a/32) *100 </t>
  </si>
  <si>
    <t xml:space="preserve">porcentaje </t>
  </si>
  <si>
    <r>
      <t xml:space="preserve">Porcentaje de reducción de residuos sólidos urbanos enviados a disposición final 
</t>
    </r>
    <r>
      <rPr>
        <sz val="10"/>
        <rFont val="Soberana Sans"/>
        <family val="2"/>
      </rPr>
      <t xml:space="preserve"> Causa : Este comportamiento se explica principalmente por el aumento de este indicador obedece a que se aumentó considerablemente el número de proyectos de infraestructura para el aprovechamiento de residuos(15 en total).      En 2013 se estimó atender 7,000 toneladas anuales de residuos con proyectos de aprovechamiento, pero se alcanzaron 99,204 toneladas anuales de residuos aprovechados. Efecto: Con ello, el Ejecutivo Federal, a través de la Secretaría de Medio Ambiente y Recursos Naturales impulsa el Eje del PND 2013 ¿ 2018 ¿México Prospero¿, en fomento del objetivo 4.4 ¿Impulsar y orientar un crecimiento verde incluyente y facilitador que preserve nuestro patrimonio natural al mismo tiempo que genere riqueza, competitividad y empleo¿, y de las estrategias siguientes: Estrategia 4.4.1. Implementar una política integral de desarrollo que vincule la sustentabilidad ambiental con costos y beneficios para la sociedad y Estrategia 4.4.3. Fortalecer la política nacional de cambio climático y cuidado al medio ambiente para transitar hacia una economía competitiva, sustentable, resiliente y de bajo carbono.      Asimismo la Secretaría de Medio Ambiente y Recursos Naturales impulsa el objetivo 5 del Programa Sectorial de Medio Ambiente y Recursos Naturales ¿Detener y revertir la pérdida de capital natural y la contaminación del agua, aire y suelo¿. Otros Motivos:</t>
    </r>
  </si>
  <si>
    <r>
      <t xml:space="preserve">Proporción total de residuos gestionados de manera integral
</t>
    </r>
    <r>
      <rPr>
        <sz val="10"/>
        <rFont val="Soberana Sans"/>
        <family val="2"/>
      </rPr>
      <t xml:space="preserve"> Causa : Este comportamiento se explica principalmente por el aumento de este indicador obedece a que se incrementó considerablemente el número de proyectos de infraestructura para el manejo integral de residuos sólidos proporcionalmente a los proyectos de elaboración de Programas Estatales de Prevención y Gestión Integral de Residuos.        En 2013 se atendieron 996,509 ton anuales de residuos con proyectos de infraestructura para el manejo de residuos sólidos. En contraparte en 2013 se atendieron 33,139,127 ton anuales de residuos con proyectos Programas Estatales de Prevención y Gestión Integral de Residuos. Efecto: Los beneficios económicos y sociales alcanzados con este indicador de Propósito, contribuyeron a gestionar y manejar integralmente en mayor proporción a los residuos sólidos generados en el país.        Con ello, el Ejecutivo Federal, a través de la Secretaría de Medio Ambiente y Recursos Naturales impulsa el Eje del PND 2013 ¿ 2018 ¿México Prospero¿, en fomento del objetivo 4.4 ¿Impulsar y orientar un crecimiento verde incluyente y facilitador que preserve nuestro patrimonio natural al mismo tiempo que genere riqueza, competitividad y empleo¿.        Asimismo la Secretaría de Medio Ambiente y Recursos Naturales impulsa el objetivo 5 del Programa Sectorial de Medio Ambiente y Recursos Naturales ¿Detener y revertir la pérdida de capital natural y la contaminación del agua, aire y suelo¿. Otros Motivos:</t>
    </r>
  </si>
  <si>
    <r>
      <t xml:space="preserve">Porcentaje de residuos sólidos urbanos procesados o dispuestos en nueva infraestructura
</t>
    </r>
    <r>
      <rPr>
        <sz val="10"/>
        <rFont val="Soberana Sans"/>
        <family val="2"/>
      </rPr>
      <t xml:space="preserve"> Causa : Este comportamiento se explica principalmente por el aumento de este indicador obedece al considerable incremento en el número de proyectos de infraestructura para el manejo integral de residuos sólidos (37 proyectos).      En 2013 se atendieron 996,509 ton anuales de residuos con proyectos de infraestructura para el manejo de residuos sólidos. Efecto: Los beneficios económicos y sociales alcanzados con este indicador de Componente, contribuyeron a fomentar nueva infraestructura para el adecuado manejo integral de los residuos sólidos.       Con ello, el Ejecutivo Federal, a través de la Secretaría de Medio Ambiente y Recursos Naturales impulsa el Eje del PND 2013 ¿ 2018 ¿México Prospero¿, en fomento del objetivo 4.4 ¿Impulsar y orientar un crecimiento verde incluyente y facilitador que preserve nuestro patrimonio natural al mismo tiempo que genere riqueza, competitividad y empleo¿; y de las estrategias siguientes: Estrategia 4.4.1. Implementar una política integral de desarrollo que vincule la sustentabilidad ambiental con costos y beneficios para la sociedad y Estrategia 4.4.3. Fortalecer la política nacional de cambio climático y cuidado al medio ambiente para transitar hacia una economía competitiva, sustentable, resiliente y de bajo carbono.      Asimismo la Secretaría de Medio Ambiente y Recursos Naturales impulsa el objetivo 5 del Programa Sectorial de Medio Ambiente y Recursos Naturales ¿Detener y revertir la pérdida de capital natural y la contaminación del agua, aire y suelo¿ Otros Motivos:</t>
    </r>
  </si>
  <si>
    <r>
      <t xml:space="preserve">Porcentaje de residuos sólidos urbanos gestionados a través de Programas Estatales de Prevención y Gestión Integral de Residuos
</t>
    </r>
    <r>
      <rPr>
        <sz val="10"/>
        <rFont val="Soberana Sans"/>
        <family val="2"/>
      </rPr>
      <t xml:space="preserve"> Causa : Este comportamiento se explica principalmente por el aumento de este indicador obedece a que se fomentó la elaboración de 6 Programas Estatales de Prevención y Gestión Integral de Residuos (para un total de 29 entidades federativas con PEPGIR elaborado). En 2013 se atendieron 33,139,127 ton anuales de residuos con proyectos Programas Estatales de Prevención y Gestión Integral de Residuos.    Efecto: Los beneficios económicos y sociales alcanzados con este indicador de Actividad, contribuyeron a prevenir y gestionar integralmente en mayor proporción a los residuos sólidos del país.       Con ello, el Ejecutivo Federal, a través de la Secretaría de Medio Ambiente y Recursos Naturales impulsa el Eje del PND 2013 ¿ 2018 ¿México Prospero¿, en fomento del objetivo 4.4 ¿Impulsar y orientar un crecimiento verde incluyente y facilitador que preserve nuestro patrimonio natural al mismo tiempo que genere riqueza, competitividad y empleo¿.      Con este impulso se homogeneizan las políticas y planeación nacional hacia los gobiernos locales. Otros Motivos:</t>
    </r>
  </si>
  <si>
    <r>
      <t xml:space="preserve">Número de proyectos financiados para la regularización y clausura de sitios de disposición final inadecuados
</t>
    </r>
    <r>
      <rPr>
        <sz val="10"/>
        <rFont val="Soberana Sans"/>
        <family val="2"/>
      </rPr>
      <t xml:space="preserve"> Causa : Este comportamiento se explica principalmente por lo siguiente:   El aumento de este indicador obedece a que se aumentó considerablemente el número de proyectos de saneamiento y clausura de sitios de disposición final. En 2013 se esperaba atender 7 proyectos de saneamiento y clausura de sitios de disposición final, sin embargo, dada una mayor sensibilidad de los municipios para la solicitud de apoyo se atendieron 20 proyectos de saneamiento y clausura de sitios de disposición final.    Efecto: Los beneficios económicos y sociales alcanzados con este indicador de Actividad, contribuyeron a eliminar pasivos ambientales creados por una incorrecta disposición final de los residuos sólidos.   Con ello, el Ejecutivo Federal, a través de la Secretaría de Medio Ambiente y Recursos Naturales impulsa el objetivo 5 del Programa Sectorial de Medio Ambiente y Recursos Naturales ¿Detener y revertir la pérdida de capital natural y la contaminación del agua, aire y suelo¿ Otros Motivos:</t>
    </r>
  </si>
  <si>
    <r>
      <t xml:space="preserve">Número de instalaciones financiadas para el procesamiento de residuos sólidos
</t>
    </r>
    <r>
      <rPr>
        <sz val="10"/>
        <rFont val="Soberana Sans"/>
        <family val="2"/>
      </rPr>
      <t xml:space="preserve"> Causa : Este comportamiento se explica principalmente por el aumento de este indicador obedece a que se aumentó considerablemente el número de proyectos de infraestructura para el manejo integral de residuos sólidos (en total 27 proyectos)    Efecto: Los beneficios económicos y sociales alcanzados con este indicador de Actividad, contribuyeron a fomentar nueva infraestructura para el adecuado manejo integral de los residuos sólidos.      Con ello, el Ejecutivo Federal, a través de la Secretaría de Medio Ambiente y Recursos Naturales impulsa el Eje del PND 2013 ¿ 2018 ¿México Prospero¿, en fomento del objetivo 4.4 ¿Impulsar y orientar un crecimiento verde incluyente y facilitador que preserve nuestro patrimonio natural al mismo tiempo que genere riqueza, competitividad y empleo¿.      Asimismo la Secretaría de Medio Ambiente y Recursos Naturales impulsa el objetivo 5 del Programa Sectorial de Medio Ambiente y Recursos Naturales ¿Detener y revertir la pérdida de capital natural y la contaminación del agua, aire y suelo¿. Otros Motivos:</t>
    </r>
  </si>
  <si>
    <r>
      <t xml:space="preserve">Porcentaje de Entidades Federativas con Programas de Prevención y Gestión Integral de Residuos elaborados
</t>
    </r>
    <r>
      <rPr>
        <sz val="10"/>
        <rFont val="Soberana Sans"/>
        <family val="2"/>
      </rPr>
      <t xml:space="preserve"> Causa : Este comportamiento se explica principalmente por lo siguiente:   El aumento de este indicador obedece a que se fomentó la elaboración de 6 Programas Estatales de Prevención y Gestión Integral de Residuos (para un total de 29 entidades federativas con PEPGIR elaborado)    Efecto: Los beneficios económicos y sociales alcanzados con este indicador de Actividad, contribuyeron a que la política de prevención y gestión integral de los residuos sea homogénea en todas las entidades federativas del país.    Con ello, el Ejecutivo Federal, a través de la Secretaría de Medio Ambiente y Recursos Naturales impulsa el Eje del PND 2013 ¿ 2018 ¿México Prospero¿. En fomento del objetivo 4.4 ¿Impulsar y orientar un crecimiento verde incluyente y facilitador que preserve nuestro patrimonio natural al mismo tiempo que genere riqueza, competitividad y empleo¿, con las siguientes;Estrategia 4.4.1. Implementar una política integral de desarrollo que vincule la sustentabilidad ambiental con costos y beneficios para la sociedad y la Estrategia 4.4.3. Fortalecer la política nacional de cambio climático y cuidado al medio ambiente para transitar hacia una economía competitiva, sustentable, resiliente y de bajo carbono.   Con este impulso si homogeneizan las políticas nacionales hacia los gobiernos locales    Otros Motivos:</t>
    </r>
  </si>
  <si>
    <t>U020</t>
  </si>
  <si>
    <t>Fomento para la Conservación y Aprovechamiento Sustentable de la Vida Silvestre</t>
  </si>
  <si>
    <t>713-Dirección General de Vida Silvestre</t>
  </si>
  <si>
    <t>Contribuir a la sustentabilidad ambiental mediante el manejo de especies silvestres y la protección de sus hábitat.</t>
  </si>
  <si>
    <r>
      <t>Porcentaje de especies silvestres que cuentan con proyectos de conservación sustentables.</t>
    </r>
    <r>
      <rPr>
        <i/>
        <sz val="10"/>
        <color indexed="30"/>
        <rFont val="Soberana Sans"/>
        <family val="3"/>
      </rPr>
      <t xml:space="preserve">
Indicador Seleccionado</t>
    </r>
  </si>
  <si>
    <t>[Número de especies silvestres con al menos un proyecto de manejo para su conservación que generan ingresos netos en el año t / Número de especies silvestres con al menos un proyecto de manejo para su conservación en el año t] x 100.   Entendiendo por ¿especies silvestres con al menos un proyecto de manejo para su conservación que generen ingresos netos en el año t; aquéllas que cuentan con autorización de aprovechamiento.</t>
  </si>
  <si>
    <t>Las especies silvestres son manejadas para su conservación.</t>
  </si>
  <si>
    <r>
      <t>Porcentaje de especies silvestres manejadas para su conservación.</t>
    </r>
    <r>
      <rPr>
        <i/>
        <sz val="10"/>
        <color indexed="30"/>
        <rFont val="Soberana Sans"/>
        <family val="3"/>
      </rPr>
      <t xml:space="preserve">
</t>
    </r>
  </si>
  <si>
    <t>(Número de especies silvestres con al menos un proyecto de manejo para su conservación en el año t/ Número de especies silvestres susceptibles a ser apoyadas en el año t)*100</t>
  </si>
  <si>
    <t>A Unidades de Manejo para la Conservación de la Vida Silvestre (UMA) y Predios e Instalaciones que manejan Vida Silvestre fuera de su Hábitat Natural (PIMVS) con proyectos subsidiados.</t>
  </si>
  <si>
    <r>
      <t>Porcentaje de proyectos de conservación sustentable subsidiados.</t>
    </r>
    <r>
      <rPr>
        <i/>
        <sz val="10"/>
        <color indexed="30"/>
        <rFont val="Soberana Sans"/>
        <family val="3"/>
      </rPr>
      <t xml:space="preserve">
</t>
    </r>
  </si>
  <si>
    <t>[(Número de proyectos de conservación sustentable subsidiados) / (Número de proyectos que cumplen con los criterios de selección)]*100</t>
  </si>
  <si>
    <t>A 1 Recepción de proyectos a subsidiar.</t>
  </si>
  <si>
    <r>
      <t>Porcentaje de proyectos seleccionados que cumplen con los requisitos del total recibido.</t>
    </r>
    <r>
      <rPr>
        <i/>
        <sz val="10"/>
        <color indexed="30"/>
        <rFont val="Soberana Sans"/>
        <family val="3"/>
      </rPr>
      <t xml:space="preserve">
</t>
    </r>
  </si>
  <si>
    <t>[(Número de proyectos que cumplen con los requisitos)/(Número de proyectos recibidos)]*100</t>
  </si>
  <si>
    <t>Gestión-Calidad-Semestral</t>
  </si>
  <si>
    <t>A 2 Dictámen de proyectos a subsidiar.</t>
  </si>
  <si>
    <r>
      <t>Porcentaje de proyectos que cumplen con la criterios de selección del total de los que cumplen con los requisitos.</t>
    </r>
    <r>
      <rPr>
        <i/>
        <sz val="10"/>
        <color indexed="30"/>
        <rFont val="Soberana Sans"/>
        <family val="3"/>
      </rPr>
      <t xml:space="preserve">
</t>
    </r>
  </si>
  <si>
    <t>[(Número de proyectos que cumplen con los criterios de selección) / (Número de proyectos que cumplen con los requisitos)] *100</t>
  </si>
  <si>
    <r>
      <t xml:space="preserve">Porcentaje de especies silvestres que cuentan con proyectos de conservación sustentables.
</t>
    </r>
    <r>
      <rPr>
        <sz val="10"/>
        <rFont val="Soberana Sans"/>
        <family val="2"/>
      </rPr>
      <t xml:space="preserve"> Causa :      La Secretaría de Medio Ambiente y Recursos Naturales, a través de la Subsecretaría de Gestión, estableció para 2012 el indicador estratégico ¿porcentaje de especies silvestres manejados a través de los proyectos subsidiados¿, a fin de fomentar con eficacia la conservación y aprovechamiento sustentable de la vida silvestre a través del Sistema de Unidades de Manejo para la Conservación de la Vida Silvestre (SUMA), predios e instalaciones que manejan vida silvestre de forma confinada fuera de su hábitat natural (PIMVS). Al final del ejercicio, observó un porcentaje de cumplimiento de 100.0 por ciento respecto a lo programado, lo cual reflejó el interés y la demanda en el número de especies tanto manejadas como aprovechadas sustentablemente, con respecto al número de especies comprometidas en la meta programada. Este comportamiento se explica principalmente por lo siguiente:         La meta programada se cumplió, debido al interés mostrado por parte de los beneficiados por manejar, conservar y aprovechar especies de flora y fauna silvestres, a través de 255 proyectos beneficiados con 213 millones de pesos, de un total de 2 421 solicitudes recibidas.         Se otorgaron recursos para fomentar y fortalecer la conservación y el aprovechamiento sustentable de la vida silvestre a través de los esquemas de UMA y PIMVS en 29 entidades federativas, con especial énfasis en los municipios integrantes de la Cruzada contra el Hambre, para lo cual se destinó el 22.03% (93.8 millones de pesos) del presupuesto otorgado (213 millones de pesos) para la ejecución del subsidio. Efecto: Los beneficios económicos y sociales que se esperan con este indicador de fin, son la conservación del hábitat y de las especies, y a través de su aprovechamiento sustentable, para favorecer una población estimada de 23 438 personas (13 510 hombres y 9 928 mujeres). Otros Motivos:se autorizaron las especies para que los beneficiarios reaizaran su aprovechamiento sustentable, con lo que se generan recursos económicos, además de los servicios y bienes propios de la vida silvestre, propiciando que éstas sean conservadas.</t>
    </r>
  </si>
  <si>
    <r>
      <t xml:space="preserve">Porcentaje de especies silvestres manejadas para su conservación.
</t>
    </r>
    <r>
      <rPr>
        <sz val="10"/>
        <rFont val="Soberana Sans"/>
        <family val="2"/>
      </rPr>
      <t xml:space="preserve"> Causa : Los beneficiarios solicitaron el manejo de las especies. Efecto: Conservación de especies silvestres manejadas. Otros Motivos:Las personas se benefician del manejo de las especies al recibir ingresos económicos.</t>
    </r>
  </si>
  <si>
    <r>
      <t xml:space="preserve">Porcentaje de proyectos de conservación sustentable subsidiados.
</t>
    </r>
    <r>
      <rPr>
        <sz val="10"/>
        <rFont val="Soberana Sans"/>
        <family val="2"/>
      </rPr>
      <t xml:space="preserve"> Causa : Ampliación de presupuesto para subsidiar a un mayor número de poryectos. Efecto: Mayor número de poryectos subsidiados que benefician al total de especies silvestres manejadas. Otros Motivos:La demanda de solicitudes rebasó la proyectada.</t>
    </r>
  </si>
  <si>
    <r>
      <t xml:space="preserve">Porcentaje de proyectos seleccionados que cumplen con los requisitos del total recibido.
</t>
    </r>
    <r>
      <rPr>
        <sz val="10"/>
        <rFont val="Soberana Sans"/>
        <family val="2"/>
      </rPr>
      <t xml:space="preserve"> Causa : El programa responde a la demanda y al momento en que se establece la meta no se conoce cual va a ser el número de solicitudes que se recibirán, por lo que se hace un estimado en relación al comportamiento de años anteriores. Efecto: En cada emisión del programa, el número de proyectos que cumplen con los requisitos se incrementa. Otros Motivos:Existe un interés por la conservación y el aprovechamiento sustentable de la vida silvestre.</t>
    </r>
  </si>
  <si>
    <r>
      <t xml:space="preserve">Porcentaje de proyectos que cumplen con la criterios de selección del total de los que cumplen con los requisitos.
</t>
    </r>
    <r>
      <rPr>
        <sz val="10"/>
        <rFont val="Soberana Sans"/>
        <family val="2"/>
      </rPr>
      <t xml:space="preserve"> Causa : El programa responde a la demanda y al momento en que se establece la meta no se conoce cual va a ser el número de solicitudes que se recibirán, por lo que se hace un estimado en relación al comportamiento de años anteriores. Efecto: En cada emisión del programa, el número de proyectos que cumplen con los criterios de elegibilidad aumentan. Otros Motivos:Existe un interés por la conservación y el aprovechamiento sustentable de la vida silvestre.</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</si>
</sst>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style="thin">
        <color rgb="FF000000"/>
      </left>
      <right/>
      <top style="thick">
        <color rgb="FF969696"/>
      </top>
      <bottom/>
      <diagonal/>
    </border>
    <border>
      <left style="thin">
        <color rgb="FF000000"/>
      </left>
      <right/>
      <top/>
      <bottom/>
      <diagonal/>
    </border>
    <border>
      <left style="thin">
        <color rgb="FF000000"/>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6"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19" fillId="0" borderId="0" xfId="0" applyFont="1" applyAlignment="1">
      <alignment vertical="top" wrapText="1"/>
    </xf>
    <xf numFmtId="0" fontId="18" fillId="0" borderId="38" xfId="0" applyFont="1" applyFill="1" applyBorder="1" applyAlignment="1">
      <alignment vertical="top" wrapText="1"/>
    </xf>
    <xf numFmtId="4" fontId="19" fillId="0" borderId="39" xfId="0" applyNumberFormat="1" applyFont="1" applyBorder="1" applyAlignment="1">
      <alignment horizontal="right" vertical="top" wrapText="1"/>
    </xf>
    <xf numFmtId="0" fontId="18" fillId="0" borderId="41" xfId="0" applyFont="1" applyFill="1" applyBorder="1" applyAlignment="1">
      <alignment vertical="top" wrapText="1"/>
    </xf>
    <xf numFmtId="4" fontId="19" fillId="0" borderId="42" xfId="0" applyNumberFormat="1" applyFont="1" applyBorder="1" applyAlignment="1">
      <alignment horizontal="right" vertical="top" wrapText="1"/>
    </xf>
    <xf numFmtId="3" fontId="0" fillId="0" borderId="0" xfId="0" applyNumberFormat="1" applyAlignment="1">
      <alignment vertical="top" wrapText="1"/>
    </xf>
    <xf numFmtId="0" fontId="25" fillId="36" borderId="44"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5" xfId="0" applyFont="1" applyFill="1" applyBorder="1" applyAlignment="1">
      <alignment vertical="center" wrapText="1"/>
    </xf>
    <xf numFmtId="0" fontId="18" fillId="36" borderId="27" xfId="0" applyFont="1" applyFill="1" applyBorder="1" applyAlignment="1">
      <alignment horizontal="center" vertical="center" wrapText="1"/>
    </xf>
    <xf numFmtId="0" fontId="25" fillId="36" borderId="46" xfId="0" applyFont="1" applyFill="1" applyBorder="1" applyAlignment="1">
      <alignment horizontal="centerContinuous" vertical="center"/>
    </xf>
    <xf numFmtId="0" fontId="26" fillId="36" borderId="47" xfId="0" applyFont="1" applyFill="1" applyBorder="1" applyAlignment="1">
      <alignment horizontal="centerContinuous" vertical="center"/>
    </xf>
    <xf numFmtId="0" fontId="26" fillId="36" borderId="47" xfId="0" applyFont="1" applyFill="1" applyBorder="1" applyAlignment="1">
      <alignment horizontal="centerContinuous" vertical="center" wrapText="1"/>
    </xf>
    <xf numFmtId="0" fontId="18" fillId="36" borderId="48" xfId="0" applyFont="1" applyFill="1" applyBorder="1" applyAlignment="1">
      <alignment horizontal="center" vertical="center" wrapText="1"/>
    </xf>
    <xf numFmtId="0" fontId="18" fillId="36" borderId="49" xfId="0" applyFont="1" applyFill="1" applyBorder="1" applyAlignment="1">
      <alignment horizontal="center" vertical="center" wrapText="1"/>
    </xf>
    <xf numFmtId="0" fontId="18" fillId="0" borderId="51" xfId="0" applyFont="1" applyBorder="1" applyAlignment="1">
      <alignment horizontal="justify" vertical="top" wrapText="1"/>
    </xf>
    <xf numFmtId="0" fontId="0" fillId="0" borderId="51" xfId="0" applyBorder="1" applyAlignment="1">
      <alignment vertical="top" wrapText="1"/>
    </xf>
    <xf numFmtId="4" fontId="0" fillId="0" borderId="51" xfId="0" applyNumberFormat="1" applyBorder="1" applyAlignment="1">
      <alignment vertical="top" wrapText="1"/>
    </xf>
    <xf numFmtId="0" fontId="18" fillId="0" borderId="54" xfId="0" applyFont="1" applyBorder="1" applyAlignment="1">
      <alignment horizontal="justify" vertical="top" wrapText="1"/>
    </xf>
    <xf numFmtId="0" fontId="0" fillId="0" borderId="54" xfId="0" applyBorder="1" applyAlignment="1">
      <alignment vertical="top" wrapText="1"/>
    </xf>
    <xf numFmtId="4" fontId="0" fillId="0" borderId="54" xfId="0" applyNumberFormat="1" applyBorder="1" applyAlignment="1">
      <alignment vertical="top" wrapText="1"/>
    </xf>
    <xf numFmtId="3" fontId="19" fillId="0" borderId="39" xfId="0" applyNumberFormat="1" applyFont="1" applyBorder="1" applyAlignment="1">
      <alignment horizontal="right" vertical="top" wrapText="1"/>
    </xf>
    <xf numFmtId="3" fontId="19" fillId="0" borderId="42" xfId="0" applyNumberFormat="1" applyFont="1" applyBorder="1" applyAlignment="1">
      <alignment horizontal="right" vertical="top" wrapText="1"/>
    </xf>
    <xf numFmtId="2" fontId="0" fillId="0" borderId="40" xfId="0" applyNumberFormat="1" applyBorder="1" applyAlignment="1">
      <alignment horizontal="right" vertical="top" wrapText="1"/>
    </xf>
    <xf numFmtId="2" fontId="0" fillId="0" borderId="43" xfId="0" applyNumberFormat="1" applyBorder="1" applyAlignment="1">
      <alignment horizontal="right" vertical="top" wrapText="1"/>
    </xf>
    <xf numFmtId="4" fontId="0" fillId="0" borderId="51" xfId="0" applyNumberFormat="1" applyFill="1" applyBorder="1" applyAlignment="1">
      <alignment horizontal="right" vertical="top" wrapText="1"/>
    </xf>
    <xf numFmtId="4" fontId="19" fillId="0" borderId="52" xfId="0" applyNumberFormat="1" applyFont="1" applyFill="1" applyBorder="1" applyAlignment="1">
      <alignment horizontal="right" vertical="top" wrapText="1"/>
    </xf>
    <xf numFmtId="4" fontId="0" fillId="0" borderId="0" xfId="0" applyNumberFormat="1"/>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60" xfId="0" applyFont="1" applyFill="1" applyBorder="1" applyAlignment="1">
      <alignment horizontal="center" vertical="center" wrapText="1"/>
    </xf>
    <xf numFmtId="0" fontId="18" fillId="36" borderId="14" xfId="0" applyFont="1" applyFill="1" applyBorder="1" applyAlignment="1">
      <alignment horizontal="center" vertical="center" wrapText="1"/>
    </xf>
    <xf numFmtId="0" fontId="18" fillId="36" borderId="45" xfId="0" applyFont="1" applyFill="1" applyBorder="1" applyAlignment="1">
      <alignment horizontal="center" vertical="center" wrapText="1"/>
    </xf>
    <xf numFmtId="0" fontId="18" fillId="36" borderId="61"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6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7"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5" xfId="0" applyFont="1" applyFill="1" applyBorder="1" applyAlignment="1">
      <alignment horizontal="center" vertical="top" wrapText="1"/>
    </xf>
    <xf numFmtId="0" fontId="18" fillId="36" borderId="35" xfId="0" applyFont="1" applyFill="1" applyBorder="1" applyAlignment="1">
      <alignment horizontal="center" vertical="center" wrapText="1"/>
    </xf>
    <xf numFmtId="0" fontId="18" fillId="36" borderId="36" xfId="0" applyFont="1" applyFill="1" applyBorder="1" applyAlignment="1">
      <alignment horizontal="center" vertical="center" wrapText="1"/>
    </xf>
    <xf numFmtId="0" fontId="0" fillId="0" borderId="39" xfId="0" applyFill="1" applyBorder="1" applyAlignment="1">
      <alignment horizontal="justify" vertical="top" wrapText="1"/>
    </xf>
    <xf numFmtId="0" fontId="0" fillId="0" borderId="42" xfId="0" applyFill="1" applyBorder="1" applyAlignment="1">
      <alignment horizontal="justify" vertical="top" wrapText="1"/>
    </xf>
    <xf numFmtId="0" fontId="18" fillId="0" borderId="41" xfId="0" applyFont="1"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50" xfId="0" applyFont="1" applyBorder="1" applyAlignment="1">
      <alignment horizontal="justify" vertical="top" wrapText="1"/>
    </xf>
    <xf numFmtId="0" fontId="18" fillId="0" borderId="51" xfId="0" applyFont="1" applyBorder="1" applyAlignment="1">
      <alignment horizontal="justify" vertical="top" wrapText="1"/>
    </xf>
    <xf numFmtId="0" fontId="18" fillId="0" borderId="53"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Fill="1" applyBorder="1" applyAlignment="1">
      <alignment horizontal="justify" vertical="top" wrapText="1"/>
    </xf>
    <xf numFmtId="0" fontId="18" fillId="0" borderId="39" xfId="0" applyFont="1" applyFill="1" applyBorder="1" applyAlignment="1">
      <alignment horizontal="justify" vertical="top" wrapText="1"/>
    </xf>
    <xf numFmtId="0" fontId="18" fillId="0" borderId="56" xfId="0" applyFont="1"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B2" sqref="B2"/>
    </sheetView>
  </sheetViews>
  <sheetFormatPr baseColWidth="10" defaultColWidth="5" defaultRowHeight="12.75" x14ac:dyDescent="0.2"/>
  <cols>
    <col min="1" max="1" width="3.5" style="1" customWidth="1"/>
    <col min="2" max="16384" width="5" style="1"/>
  </cols>
  <sheetData>
    <row r="1" spans="2:30" s="2" customFormat="1" ht="48" customHeight="1" x14ac:dyDescent="0.2">
      <c r="B1" s="50" t="s">
        <v>0</v>
      </c>
      <c r="C1" s="50"/>
      <c r="D1" s="50"/>
      <c r="E1" s="50"/>
      <c r="F1" s="50"/>
      <c r="G1" s="50"/>
      <c r="H1" s="50"/>
      <c r="I1" s="50"/>
      <c r="J1" s="50"/>
      <c r="K1" s="50"/>
      <c r="L1" s="50"/>
      <c r="M1" s="50"/>
      <c r="N1" s="50"/>
      <c r="O1" s="50"/>
      <c r="P1" s="50"/>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1" t="s">
        <v>2</v>
      </c>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row>
    <row r="12" spans="2:30" ht="13.5" customHeight="1" x14ac:dyDescent="0.2">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row>
    <row r="13" spans="2:30" ht="13.5" customHeight="1" x14ac:dyDescent="0.2">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row>
    <row r="14" spans="2:30" ht="13.5" customHeight="1" x14ac:dyDescent="0.2">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2:30" ht="13.5" customHeight="1" x14ac:dyDescent="0.2">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row>
    <row r="16" spans="2:30" ht="13.5" customHeight="1" x14ac:dyDescent="0.2">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row>
    <row r="17" spans="2:30" ht="13.5" customHeight="1" x14ac:dyDescent="0.2">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row>
    <row r="18" spans="2:30" ht="13.5" customHeight="1" x14ac:dyDescent="0.2">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row>
    <row r="19" spans="2:30" ht="13.5" customHeight="1" x14ac:dyDescent="0.2">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row>
    <row r="20" spans="2:30" ht="13.5" customHeight="1" x14ac:dyDescent="0.2">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2:30" ht="13.5" customHeight="1" x14ac:dyDescent="0.2">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row>
    <row r="22" spans="2:30" ht="13.5" customHeight="1" x14ac:dyDescent="0.2">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row>
    <row r="23" spans="2:30" ht="13.5" customHeight="1" x14ac:dyDescent="0.2">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row r="24" spans="2:30" ht="13.5" customHeight="1" x14ac:dyDescent="0.2">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row>
    <row r="25" spans="2:30" ht="13.5" customHeight="1" x14ac:dyDescent="0.2">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2:30" ht="13.5" customHeight="1" x14ac:dyDescent="0.2">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2:30" ht="13.5" customHeight="1" x14ac:dyDescent="0.2">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row>
    <row r="28" spans="2:30" ht="13.5" customHeight="1" x14ac:dyDescent="0.2">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2:30" ht="13.5" customHeight="1" x14ac:dyDescent="0.2">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2:30" ht="13.5" customHeight="1" x14ac:dyDescent="0.2">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2:30" ht="13.5" customHeight="1" x14ac:dyDescent="0.2">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2:30" ht="13.5" customHeight="1" x14ac:dyDescent="0.2">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2:30" ht="13.5" customHeight="1" x14ac:dyDescent="0.2">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2:30" ht="13.5" customHeigh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2" t="s">
        <v>3</v>
      </c>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4:28" ht="13.5" customHeight="1" x14ac:dyDescent="0.2">
      <c r="D50" s="53" t="s">
        <v>4</v>
      </c>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4:28" ht="13.5" customHeight="1" x14ac:dyDescent="0.2">
      <c r="D51" s="53"/>
      <c r="E51" s="53"/>
      <c r="F51" s="53"/>
      <c r="G51" s="53"/>
      <c r="H51" s="53"/>
      <c r="I51" s="53"/>
      <c r="J51" s="53"/>
      <c r="K51" s="53"/>
      <c r="L51" s="53"/>
      <c r="M51" s="53"/>
      <c r="N51" s="53"/>
      <c r="O51" s="53"/>
      <c r="P51" s="53"/>
      <c r="Q51" s="53"/>
      <c r="R51" s="53"/>
      <c r="S51" s="53"/>
      <c r="T51" s="53"/>
      <c r="U51" s="53"/>
      <c r="V51" s="53"/>
      <c r="W51" s="53"/>
      <c r="X51" s="53"/>
      <c r="Y51" s="53"/>
      <c r="Z51" s="53"/>
      <c r="AA51" s="53"/>
      <c r="AB51" s="53"/>
    </row>
    <row r="52" spans="4:28" ht="13.5" customHeight="1" x14ac:dyDescent="0.2">
      <c r="D52" s="53"/>
      <c r="E52" s="53"/>
      <c r="F52" s="53"/>
      <c r="G52" s="53"/>
      <c r="H52" s="53"/>
      <c r="I52" s="53"/>
      <c r="J52" s="53"/>
      <c r="K52" s="53"/>
      <c r="L52" s="53"/>
      <c r="M52" s="53"/>
      <c r="N52" s="53"/>
      <c r="O52" s="53"/>
      <c r="P52" s="53"/>
      <c r="Q52" s="53"/>
      <c r="R52" s="53"/>
      <c r="S52" s="53"/>
      <c r="T52" s="53"/>
      <c r="U52" s="53"/>
      <c r="V52" s="53"/>
      <c r="W52" s="53"/>
      <c r="X52" s="53"/>
      <c r="Y52" s="53"/>
      <c r="Z52" s="53"/>
      <c r="AA52" s="53"/>
      <c r="AB52" s="53"/>
    </row>
    <row r="53" spans="4:28" ht="13.5" customHeight="1" x14ac:dyDescent="0.2">
      <c r="D53" s="53"/>
      <c r="E53" s="53"/>
      <c r="F53" s="53"/>
      <c r="G53" s="53"/>
      <c r="H53" s="53"/>
      <c r="I53" s="53"/>
      <c r="J53" s="53"/>
      <c r="K53" s="53"/>
      <c r="L53" s="53"/>
      <c r="M53" s="53"/>
      <c r="N53" s="53"/>
      <c r="O53" s="53"/>
      <c r="P53" s="53"/>
      <c r="Q53" s="53"/>
      <c r="R53" s="53"/>
      <c r="S53" s="53"/>
      <c r="T53" s="53"/>
      <c r="U53" s="53"/>
      <c r="V53" s="53"/>
      <c r="W53" s="53"/>
      <c r="X53" s="53"/>
      <c r="Y53" s="53"/>
      <c r="Z53" s="53"/>
      <c r="AA53" s="53"/>
      <c r="AB53" s="53"/>
    </row>
    <row r="54" spans="4:28" ht="13.5" customHeight="1" x14ac:dyDescent="0.2">
      <c r="D54" s="53"/>
      <c r="E54" s="53"/>
      <c r="F54" s="53"/>
      <c r="G54" s="53"/>
      <c r="H54" s="53"/>
      <c r="I54" s="53"/>
      <c r="J54" s="53"/>
      <c r="K54" s="53"/>
      <c r="L54" s="53"/>
      <c r="M54" s="53"/>
      <c r="N54" s="53"/>
      <c r="O54" s="53"/>
      <c r="P54" s="53"/>
      <c r="Q54" s="53"/>
      <c r="R54" s="53"/>
      <c r="S54" s="53"/>
      <c r="T54" s="53"/>
      <c r="U54" s="53"/>
      <c r="V54" s="53"/>
      <c r="W54" s="53"/>
      <c r="X54" s="53"/>
      <c r="Y54" s="53"/>
      <c r="Z54" s="53"/>
      <c r="AA54" s="53"/>
      <c r="AB54" s="53"/>
    </row>
    <row r="55" spans="4:28" ht="13.5" customHeight="1" x14ac:dyDescent="0.2">
      <c r="D55" s="53"/>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4:28" ht="13.5" customHeight="1" x14ac:dyDescent="0.2">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4:28" ht="13.5" customHeight="1" x14ac:dyDescent="0.2">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4:28" ht="13.5" customHeight="1" x14ac:dyDescent="0.2">
      <c r="D58" s="53"/>
      <c r="E58" s="53"/>
      <c r="F58" s="53"/>
      <c r="G58" s="53"/>
      <c r="H58" s="53"/>
      <c r="I58" s="53"/>
      <c r="J58" s="53"/>
      <c r="K58" s="53"/>
      <c r="L58" s="53"/>
      <c r="M58" s="53"/>
      <c r="N58" s="53"/>
      <c r="O58" s="53"/>
      <c r="P58" s="53"/>
      <c r="Q58" s="53"/>
      <c r="R58" s="53"/>
      <c r="S58" s="53"/>
      <c r="T58" s="53"/>
      <c r="U58" s="53"/>
      <c r="V58" s="53"/>
      <c r="W58" s="53"/>
      <c r="X58" s="53"/>
      <c r="Y58" s="53"/>
      <c r="Z58" s="53"/>
      <c r="AA58" s="53"/>
      <c r="AB58" s="53"/>
    </row>
    <row r="59" spans="4:28" ht="13.5" customHeight="1" x14ac:dyDescent="0.2">
      <c r="D59" s="53"/>
      <c r="E59" s="53"/>
      <c r="F59" s="53"/>
      <c r="G59" s="53"/>
      <c r="H59" s="53"/>
      <c r="I59" s="53"/>
      <c r="J59" s="53"/>
      <c r="K59" s="53"/>
      <c r="L59" s="53"/>
      <c r="M59" s="53"/>
      <c r="N59" s="53"/>
      <c r="O59" s="53"/>
      <c r="P59" s="53"/>
      <c r="Q59" s="53"/>
      <c r="R59" s="53"/>
      <c r="S59" s="53"/>
      <c r="T59" s="53"/>
      <c r="U59" s="53"/>
      <c r="V59" s="53"/>
      <c r="W59" s="53"/>
      <c r="X59" s="53"/>
      <c r="Y59" s="53"/>
      <c r="Z59" s="53"/>
      <c r="AA59" s="53"/>
      <c r="AB59" s="53"/>
    </row>
    <row r="60" spans="4:28" ht="13.5" customHeight="1" x14ac:dyDescent="0.2">
      <c r="D60" s="53"/>
      <c r="E60" s="53"/>
      <c r="F60" s="53"/>
      <c r="G60" s="53"/>
      <c r="H60" s="53"/>
      <c r="I60" s="53"/>
      <c r="J60" s="53"/>
      <c r="K60" s="53"/>
      <c r="L60" s="53"/>
      <c r="M60" s="53"/>
      <c r="N60" s="53"/>
      <c r="O60" s="53"/>
      <c r="P60" s="53"/>
      <c r="Q60" s="53"/>
      <c r="R60" s="53"/>
      <c r="S60" s="53"/>
      <c r="T60" s="53"/>
      <c r="U60" s="53"/>
      <c r="V60" s="53"/>
      <c r="W60" s="53"/>
      <c r="X60" s="53"/>
      <c r="Y60" s="53"/>
      <c r="Z60" s="53"/>
      <c r="AA60" s="53"/>
      <c r="AB60" s="53"/>
    </row>
    <row r="61" spans="4:28" ht="13.5" customHeight="1" x14ac:dyDescent="0.2">
      <c r="D61" s="53"/>
      <c r="E61" s="53"/>
      <c r="F61" s="53"/>
      <c r="G61" s="53"/>
      <c r="H61" s="53"/>
      <c r="I61" s="53"/>
      <c r="J61" s="53"/>
      <c r="K61" s="53"/>
      <c r="L61" s="53"/>
      <c r="M61" s="53"/>
      <c r="N61" s="53"/>
      <c r="O61" s="53"/>
      <c r="P61" s="53"/>
      <c r="Q61" s="53"/>
      <c r="R61" s="53"/>
      <c r="S61" s="53"/>
      <c r="T61" s="53"/>
      <c r="U61" s="53"/>
      <c r="V61" s="53"/>
      <c r="W61" s="53"/>
      <c r="X61" s="53"/>
      <c r="Y61" s="53"/>
      <c r="Z61" s="53"/>
      <c r="AA61" s="53"/>
      <c r="AB61" s="53"/>
    </row>
    <row r="62" spans="4:28" ht="13.5" customHeight="1" x14ac:dyDescent="0.2">
      <c r="D62" s="53"/>
      <c r="E62" s="53"/>
      <c r="F62" s="53"/>
      <c r="G62" s="53"/>
      <c r="H62" s="53"/>
      <c r="I62" s="53"/>
      <c r="J62" s="53"/>
      <c r="K62" s="53"/>
      <c r="L62" s="53"/>
      <c r="M62" s="53"/>
      <c r="N62" s="53"/>
      <c r="O62" s="53"/>
      <c r="P62" s="53"/>
      <c r="Q62" s="53"/>
      <c r="R62" s="53"/>
      <c r="S62" s="53"/>
      <c r="T62" s="53"/>
      <c r="U62" s="53"/>
      <c r="V62" s="53"/>
      <c r="W62" s="53"/>
      <c r="X62" s="53"/>
      <c r="Y62" s="53"/>
      <c r="Z62" s="53"/>
      <c r="AA62" s="53"/>
      <c r="AB62" s="53"/>
    </row>
    <row r="63" spans="4:28" ht="13.5" customHeight="1" x14ac:dyDescent="0.2">
      <c r="D63" s="53"/>
      <c r="E63" s="53"/>
      <c r="F63" s="53"/>
      <c r="G63" s="53"/>
      <c r="H63" s="53"/>
      <c r="I63" s="53"/>
      <c r="J63" s="53"/>
      <c r="K63" s="53"/>
      <c r="L63" s="53"/>
      <c r="M63" s="53"/>
      <c r="N63" s="53"/>
      <c r="O63" s="53"/>
      <c r="P63" s="53"/>
      <c r="Q63" s="53"/>
      <c r="R63" s="53"/>
      <c r="S63" s="53"/>
      <c r="T63" s="53"/>
      <c r="U63" s="53"/>
      <c r="V63" s="53"/>
      <c r="W63" s="53"/>
      <c r="X63" s="53"/>
      <c r="Y63" s="53"/>
      <c r="Z63" s="53"/>
      <c r="AA63" s="53"/>
      <c r="AB63" s="53"/>
    </row>
    <row r="64" spans="4:28" ht="13.5" customHeight="1" x14ac:dyDescent="0.2">
      <c r="D64" s="53"/>
      <c r="E64" s="53"/>
      <c r="F64" s="53"/>
      <c r="G64" s="53"/>
      <c r="H64" s="53"/>
      <c r="I64" s="53"/>
      <c r="J64" s="53"/>
      <c r="K64" s="53"/>
      <c r="L64" s="53"/>
      <c r="M64" s="53"/>
      <c r="N64" s="53"/>
      <c r="O64" s="53"/>
      <c r="P64" s="53"/>
      <c r="Q64" s="53"/>
      <c r="R64" s="53"/>
      <c r="S64" s="53"/>
      <c r="T64" s="53"/>
      <c r="U64" s="53"/>
      <c r="V64" s="53"/>
      <c r="W64" s="53"/>
      <c r="X64" s="53"/>
      <c r="Y64" s="53"/>
      <c r="Z64" s="53"/>
      <c r="AA64" s="53"/>
      <c r="AB64" s="53"/>
    </row>
    <row r="65" spans="4:28" ht="13.5" customHeight="1" x14ac:dyDescent="0.2">
      <c r="D65" s="53"/>
      <c r="E65" s="53"/>
      <c r="F65" s="53"/>
      <c r="G65" s="53"/>
      <c r="H65" s="53"/>
      <c r="I65" s="53"/>
      <c r="J65" s="53"/>
      <c r="K65" s="53"/>
      <c r="L65" s="53"/>
      <c r="M65" s="53"/>
      <c r="N65" s="53"/>
      <c r="O65" s="53"/>
      <c r="P65" s="53"/>
      <c r="Q65" s="53"/>
      <c r="R65" s="53"/>
      <c r="S65" s="53"/>
      <c r="T65" s="53"/>
      <c r="U65" s="53"/>
      <c r="V65" s="53"/>
      <c r="W65" s="53"/>
      <c r="X65" s="53"/>
      <c r="Y65" s="53"/>
      <c r="Z65" s="53"/>
      <c r="AA65" s="53"/>
      <c r="AB65" s="53"/>
    </row>
    <row r="66" spans="4:28" ht="13.5" customHeight="1" x14ac:dyDescent="0.2">
      <c r="D66" s="53"/>
      <c r="E66" s="53"/>
      <c r="F66" s="53"/>
      <c r="G66" s="53"/>
      <c r="H66" s="53"/>
      <c r="I66" s="53"/>
      <c r="J66" s="53"/>
      <c r="K66" s="53"/>
      <c r="L66" s="53"/>
      <c r="M66" s="53"/>
      <c r="N66" s="53"/>
      <c r="O66" s="53"/>
      <c r="P66" s="53"/>
      <c r="Q66" s="53"/>
      <c r="R66" s="53"/>
      <c r="S66" s="53"/>
      <c r="T66" s="53"/>
      <c r="U66" s="53"/>
      <c r="V66" s="53"/>
      <c r="W66" s="53"/>
      <c r="X66" s="53"/>
      <c r="Y66" s="53"/>
      <c r="Z66" s="53"/>
      <c r="AA66" s="53"/>
      <c r="AB66" s="53"/>
    </row>
    <row r="67" spans="4:28" ht="13.5" customHeight="1" x14ac:dyDescent="0.2">
      <c r="D67" s="53"/>
      <c r="E67" s="53"/>
      <c r="F67" s="53"/>
      <c r="G67" s="53"/>
      <c r="H67" s="53"/>
      <c r="I67" s="53"/>
      <c r="J67" s="53"/>
      <c r="K67" s="53"/>
      <c r="L67" s="53"/>
      <c r="M67" s="53"/>
      <c r="N67" s="53"/>
      <c r="O67" s="53"/>
      <c r="P67" s="53"/>
      <c r="Q67" s="53"/>
      <c r="R67" s="53"/>
      <c r="S67" s="53"/>
      <c r="T67" s="53"/>
      <c r="U67" s="53"/>
      <c r="V67" s="53"/>
      <c r="W67" s="53"/>
      <c r="X67" s="53"/>
      <c r="Y67" s="53"/>
      <c r="Z67" s="53"/>
      <c r="AA67" s="53"/>
      <c r="AB67" s="53"/>
    </row>
    <row r="68" spans="4:28" ht="13.5" customHeight="1" x14ac:dyDescent="0.2">
      <c r="D68" s="53"/>
      <c r="E68" s="53"/>
      <c r="F68" s="53"/>
      <c r="G68" s="53"/>
      <c r="H68" s="53"/>
      <c r="I68" s="53"/>
      <c r="J68" s="53"/>
      <c r="K68" s="53"/>
      <c r="L68" s="53"/>
      <c r="M68" s="53"/>
      <c r="N68" s="53"/>
      <c r="O68" s="53"/>
      <c r="P68" s="53"/>
      <c r="Q68" s="53"/>
      <c r="R68" s="53"/>
      <c r="S68" s="53"/>
      <c r="T68" s="53"/>
      <c r="U68" s="53"/>
      <c r="V68" s="53"/>
      <c r="W68" s="53"/>
      <c r="X68" s="53"/>
      <c r="Y68" s="53"/>
      <c r="Z68" s="53"/>
      <c r="AA68" s="53"/>
      <c r="AB68" s="53"/>
    </row>
    <row r="69" spans="4:28" ht="13.5" customHeight="1" x14ac:dyDescent="0.2">
      <c r="D69" s="53"/>
      <c r="E69" s="53"/>
      <c r="F69" s="53"/>
      <c r="G69" s="53"/>
      <c r="H69" s="53"/>
      <c r="I69" s="53"/>
      <c r="J69" s="53"/>
      <c r="K69" s="53"/>
      <c r="L69" s="53"/>
      <c r="M69" s="53"/>
      <c r="N69" s="53"/>
      <c r="O69" s="53"/>
      <c r="P69" s="53"/>
      <c r="Q69" s="53"/>
      <c r="R69" s="53"/>
      <c r="S69" s="53"/>
      <c r="T69" s="53"/>
      <c r="U69" s="53"/>
      <c r="V69" s="53"/>
      <c r="W69" s="53"/>
      <c r="X69" s="53"/>
      <c r="Y69" s="53"/>
      <c r="Z69" s="53"/>
      <c r="AA69" s="53"/>
      <c r="AB69" s="53"/>
    </row>
    <row r="70" spans="4:28" ht="13.5" customHeight="1" x14ac:dyDescent="0.2">
      <c r="D70" s="53"/>
      <c r="E70" s="53"/>
      <c r="F70" s="53"/>
      <c r="G70" s="53"/>
      <c r="H70" s="53"/>
      <c r="I70" s="53"/>
      <c r="J70" s="53"/>
      <c r="K70" s="53"/>
      <c r="L70" s="53"/>
      <c r="M70" s="53"/>
      <c r="N70" s="53"/>
      <c r="O70" s="53"/>
      <c r="P70" s="53"/>
      <c r="Q70" s="53"/>
      <c r="R70" s="53"/>
      <c r="S70" s="53"/>
      <c r="T70" s="53"/>
      <c r="U70" s="53"/>
      <c r="V70" s="53"/>
      <c r="W70" s="53"/>
      <c r="X70" s="53"/>
      <c r="Y70" s="53"/>
      <c r="Z70" s="53"/>
      <c r="AA70" s="53"/>
      <c r="AB70" s="53"/>
    </row>
    <row r="71" spans="4:28" ht="13.5" customHeight="1" x14ac:dyDescent="0.2">
      <c r="D71" s="53"/>
      <c r="E71" s="53"/>
      <c r="F71" s="53"/>
      <c r="G71" s="53"/>
      <c r="H71" s="53"/>
      <c r="I71" s="53"/>
      <c r="J71" s="53"/>
      <c r="K71" s="53"/>
      <c r="L71" s="53"/>
      <c r="M71" s="53"/>
      <c r="N71" s="53"/>
      <c r="O71" s="53"/>
      <c r="P71" s="53"/>
      <c r="Q71" s="53"/>
      <c r="R71" s="53"/>
      <c r="S71" s="53"/>
      <c r="T71" s="53"/>
      <c r="U71" s="53"/>
      <c r="V71" s="53"/>
      <c r="W71" s="53"/>
      <c r="X71" s="53"/>
      <c r="Y71" s="53"/>
      <c r="Z71" s="53"/>
      <c r="AA71" s="53"/>
      <c r="AB71" s="53"/>
    </row>
    <row r="72" spans="4:28" ht="13.5" customHeight="1" x14ac:dyDescent="0.2">
      <c r="D72" s="53"/>
      <c r="E72" s="53"/>
      <c r="F72" s="53"/>
      <c r="G72" s="53"/>
      <c r="H72" s="53"/>
      <c r="I72" s="53"/>
      <c r="J72" s="53"/>
      <c r="K72" s="53"/>
      <c r="L72" s="53"/>
      <c r="M72" s="53"/>
      <c r="N72" s="53"/>
      <c r="O72" s="53"/>
      <c r="P72" s="53"/>
      <c r="Q72" s="53"/>
      <c r="R72" s="53"/>
      <c r="S72" s="53"/>
      <c r="T72" s="53"/>
      <c r="U72" s="53"/>
      <c r="V72" s="53"/>
      <c r="W72" s="53"/>
      <c r="X72" s="53"/>
      <c r="Y72" s="53"/>
      <c r="Z72" s="53"/>
      <c r="AA72" s="53"/>
      <c r="AB72" s="53"/>
    </row>
    <row r="73" spans="4:28" ht="13.5" customHeight="1" x14ac:dyDescent="0.2">
      <c r="D73" s="53"/>
      <c r="E73" s="53"/>
      <c r="F73" s="53"/>
      <c r="G73" s="53"/>
      <c r="H73" s="53"/>
      <c r="I73" s="53"/>
      <c r="J73" s="53"/>
      <c r="K73" s="53"/>
      <c r="L73" s="53"/>
      <c r="M73" s="53"/>
      <c r="N73" s="53"/>
      <c r="O73" s="53"/>
      <c r="P73" s="53"/>
      <c r="Q73" s="53"/>
      <c r="R73" s="53"/>
      <c r="S73" s="53"/>
      <c r="T73" s="53"/>
      <c r="U73" s="53"/>
      <c r="V73" s="53"/>
      <c r="W73" s="53"/>
      <c r="X73" s="53"/>
      <c r="Y73" s="53"/>
      <c r="Z73" s="53"/>
      <c r="AA73" s="53"/>
      <c r="AB73" s="53"/>
    </row>
    <row r="74" spans="4:28" ht="13.5" customHeight="1" x14ac:dyDescent="0.2">
      <c r="D74" s="53"/>
      <c r="E74" s="53"/>
      <c r="F74" s="53"/>
      <c r="G74" s="53"/>
      <c r="H74" s="53"/>
      <c r="I74" s="53"/>
      <c r="J74" s="53"/>
      <c r="K74" s="53"/>
      <c r="L74" s="53"/>
      <c r="M74" s="53"/>
      <c r="N74" s="53"/>
      <c r="O74" s="53"/>
      <c r="P74" s="53"/>
      <c r="Q74" s="53"/>
      <c r="R74" s="53"/>
      <c r="S74" s="53"/>
      <c r="T74" s="53"/>
      <c r="U74" s="53"/>
      <c r="V74" s="53"/>
      <c r="W74" s="53"/>
      <c r="X74" s="53"/>
      <c r="Y74" s="53"/>
      <c r="Z74" s="53"/>
      <c r="AA74" s="53"/>
      <c r="AB74" s="53"/>
    </row>
    <row r="75" spans="4:28" ht="13.5" customHeight="1" x14ac:dyDescent="0.2">
      <c r="D75" s="53"/>
      <c r="E75" s="53"/>
      <c r="F75" s="53"/>
      <c r="G75" s="53"/>
      <c r="H75" s="53"/>
      <c r="I75" s="53"/>
      <c r="J75" s="53"/>
      <c r="K75" s="53"/>
      <c r="L75" s="53"/>
      <c r="M75" s="53"/>
      <c r="N75" s="53"/>
      <c r="O75" s="53"/>
      <c r="P75" s="53"/>
      <c r="Q75" s="53"/>
      <c r="R75" s="53"/>
      <c r="S75" s="53"/>
      <c r="T75" s="53"/>
      <c r="U75" s="53"/>
      <c r="V75" s="53"/>
      <c r="W75" s="53"/>
      <c r="X75" s="53"/>
      <c r="Y75" s="53"/>
      <c r="Z75" s="53"/>
      <c r="AA75" s="53"/>
      <c r="AB75" s="53"/>
    </row>
    <row r="76" spans="4:28" ht="13.5" customHeight="1" x14ac:dyDescent="0.2">
      <c r="D76" s="53"/>
      <c r="E76" s="53"/>
      <c r="F76" s="53"/>
      <c r="G76" s="53"/>
      <c r="H76" s="53"/>
      <c r="I76" s="53"/>
      <c r="J76" s="53"/>
      <c r="K76" s="53"/>
      <c r="L76" s="53"/>
      <c r="M76" s="53"/>
      <c r="N76" s="53"/>
      <c r="O76" s="53"/>
      <c r="P76" s="53"/>
      <c r="Q76" s="53"/>
      <c r="R76" s="53"/>
      <c r="S76" s="53"/>
      <c r="T76" s="53"/>
      <c r="U76" s="53"/>
      <c r="V76" s="53"/>
      <c r="W76" s="53"/>
      <c r="X76" s="53"/>
      <c r="Y76" s="53"/>
      <c r="Z76" s="53"/>
      <c r="AA76" s="53"/>
      <c r="AB76" s="53"/>
    </row>
    <row r="77" spans="4:28" ht="13.5" customHeight="1" x14ac:dyDescent="0.2">
      <c r="D77" s="53"/>
      <c r="E77" s="53"/>
      <c r="F77" s="53"/>
      <c r="G77" s="53"/>
      <c r="H77" s="53"/>
      <c r="I77" s="53"/>
      <c r="J77" s="53"/>
      <c r="K77" s="53"/>
      <c r="L77" s="53"/>
      <c r="M77" s="53"/>
      <c r="N77" s="53"/>
      <c r="O77" s="53"/>
      <c r="P77" s="53"/>
      <c r="Q77" s="53"/>
      <c r="R77" s="53"/>
      <c r="S77" s="53"/>
      <c r="T77" s="53"/>
      <c r="U77" s="53"/>
      <c r="V77" s="53"/>
      <c r="W77" s="53"/>
      <c r="X77" s="53"/>
      <c r="Y77" s="53"/>
      <c r="Z77" s="53"/>
      <c r="AA77" s="53"/>
      <c r="AB77" s="53"/>
    </row>
    <row r="78" spans="4:28" ht="13.5" customHeight="1" x14ac:dyDescent="0.2">
      <c r="D78" s="53"/>
      <c r="E78" s="53"/>
      <c r="F78" s="53"/>
      <c r="G78" s="53"/>
      <c r="H78" s="53"/>
      <c r="I78" s="53"/>
      <c r="J78" s="53"/>
      <c r="K78" s="53"/>
      <c r="L78" s="53"/>
      <c r="M78" s="53"/>
      <c r="N78" s="53"/>
      <c r="O78" s="53"/>
      <c r="P78" s="53"/>
      <c r="Q78" s="53"/>
      <c r="R78" s="53"/>
      <c r="S78" s="53"/>
      <c r="T78" s="53"/>
      <c r="U78" s="53"/>
      <c r="V78" s="53"/>
      <c r="W78" s="53"/>
      <c r="X78" s="53"/>
      <c r="Y78" s="53"/>
      <c r="Z78" s="53"/>
      <c r="AA78" s="53"/>
      <c r="AB78" s="53"/>
    </row>
    <row r="79" spans="4:28" ht="13.5" customHeight="1" x14ac:dyDescent="0.2">
      <c r="D79" s="53"/>
      <c r="E79" s="53"/>
      <c r="F79" s="53"/>
      <c r="G79" s="53"/>
      <c r="H79" s="53"/>
      <c r="I79" s="53"/>
      <c r="J79" s="53"/>
      <c r="K79" s="53"/>
      <c r="L79" s="53"/>
      <c r="M79" s="53"/>
      <c r="N79" s="53"/>
      <c r="O79" s="53"/>
      <c r="P79" s="53"/>
      <c r="Q79" s="53"/>
      <c r="R79" s="53"/>
      <c r="S79" s="53"/>
      <c r="T79" s="53"/>
      <c r="U79" s="53"/>
      <c r="V79" s="53"/>
      <c r="W79" s="53"/>
      <c r="X79" s="53"/>
      <c r="Y79" s="53"/>
      <c r="Z79" s="53"/>
      <c r="AA79" s="53"/>
      <c r="AB79" s="53"/>
    </row>
    <row r="80" spans="4:28" ht="13.5" customHeight="1" x14ac:dyDescent="0.2">
      <c r="D80" s="53"/>
      <c r="E80" s="53"/>
      <c r="F80" s="53"/>
      <c r="G80" s="53"/>
      <c r="H80" s="53"/>
      <c r="I80" s="53"/>
      <c r="J80" s="53"/>
      <c r="K80" s="53"/>
      <c r="L80" s="53"/>
      <c r="M80" s="53"/>
      <c r="N80" s="53"/>
      <c r="O80" s="53"/>
      <c r="P80" s="53"/>
      <c r="Q80" s="53"/>
      <c r="R80" s="53"/>
      <c r="S80" s="53"/>
      <c r="T80" s="53"/>
      <c r="U80" s="53"/>
      <c r="V80" s="53"/>
      <c r="W80" s="53"/>
      <c r="X80" s="53"/>
      <c r="Y80" s="53"/>
      <c r="Z80" s="53"/>
      <c r="AA80" s="53"/>
      <c r="AB80" s="53"/>
    </row>
    <row r="81" spans="4:28" ht="13.5" customHeight="1" x14ac:dyDescent="0.2">
      <c r="D81" s="53"/>
      <c r="E81" s="53"/>
      <c r="F81" s="53"/>
      <c r="G81" s="53"/>
      <c r="H81" s="53"/>
      <c r="I81" s="53"/>
      <c r="J81" s="53"/>
      <c r="K81" s="53"/>
      <c r="L81" s="53"/>
      <c r="M81" s="53"/>
      <c r="N81" s="53"/>
      <c r="O81" s="53"/>
      <c r="P81" s="53"/>
      <c r="Q81" s="53"/>
      <c r="R81" s="53"/>
      <c r="S81" s="53"/>
      <c r="T81" s="53"/>
      <c r="U81" s="53"/>
      <c r="V81" s="53"/>
      <c r="W81" s="53"/>
      <c r="X81" s="53"/>
      <c r="Y81" s="53"/>
      <c r="Z81" s="53"/>
      <c r="AA81" s="53"/>
      <c r="AB81" s="53"/>
    </row>
    <row r="82" spans="4:28" ht="13.5" customHeight="1" x14ac:dyDescent="0.2">
      <c r="D82" s="53"/>
      <c r="E82" s="53"/>
      <c r="F82" s="53"/>
      <c r="G82" s="53"/>
      <c r="H82" s="53"/>
      <c r="I82" s="53"/>
      <c r="J82" s="53"/>
      <c r="K82" s="53"/>
      <c r="L82" s="53"/>
      <c r="M82" s="53"/>
      <c r="N82" s="53"/>
      <c r="O82" s="53"/>
      <c r="P82" s="53"/>
      <c r="Q82" s="53"/>
      <c r="R82" s="53"/>
      <c r="S82" s="53"/>
      <c r="T82" s="53"/>
      <c r="U82" s="53"/>
      <c r="V82" s="53"/>
      <c r="W82" s="53"/>
      <c r="X82" s="53"/>
      <c r="Y82" s="53"/>
      <c r="Z82" s="53"/>
      <c r="AA82" s="53"/>
      <c r="AB82" s="53"/>
    </row>
    <row r="83" spans="4:28" ht="13.5" customHeight="1" x14ac:dyDescent="0.2">
      <c r="D83" s="53"/>
      <c r="E83" s="53"/>
      <c r="F83" s="53"/>
      <c r="G83" s="53"/>
      <c r="H83" s="53"/>
      <c r="I83" s="53"/>
      <c r="J83" s="53"/>
      <c r="K83" s="53"/>
      <c r="L83" s="53"/>
      <c r="M83" s="53"/>
      <c r="N83" s="53"/>
      <c r="O83" s="53"/>
      <c r="P83" s="53"/>
      <c r="Q83" s="53"/>
      <c r="R83" s="53"/>
      <c r="S83" s="53"/>
      <c r="T83" s="53"/>
      <c r="U83" s="53"/>
      <c r="V83" s="53"/>
      <c r="W83" s="53"/>
      <c r="X83" s="53"/>
      <c r="Y83" s="53"/>
      <c r="Z83" s="53"/>
      <c r="AA83" s="53"/>
      <c r="AB83" s="53"/>
    </row>
    <row r="84" spans="4:28" ht="13.5" customHeight="1" x14ac:dyDescent="0.2">
      <c r="D84" s="53"/>
      <c r="E84" s="53"/>
      <c r="F84" s="53"/>
      <c r="G84" s="53"/>
      <c r="H84" s="53"/>
      <c r="I84" s="53"/>
      <c r="J84" s="53"/>
      <c r="K84" s="53"/>
      <c r="L84" s="53"/>
      <c r="M84" s="53"/>
      <c r="N84" s="53"/>
      <c r="O84" s="53"/>
      <c r="P84" s="53"/>
      <c r="Q84" s="53"/>
      <c r="R84" s="53"/>
      <c r="S84" s="53"/>
      <c r="T84" s="53"/>
      <c r="U84" s="53"/>
      <c r="V84" s="53"/>
      <c r="W84" s="53"/>
      <c r="X84" s="53"/>
      <c r="Y84" s="53"/>
      <c r="Z84" s="53"/>
      <c r="AA84" s="53"/>
      <c r="AB84" s="53"/>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9"/>
  <sheetViews>
    <sheetView tabSelected="1" view="pageBreakPreview" topLeftCell="M16" zoomScale="80" zoomScaleNormal="80" zoomScaleSheetLayoutView="80" workbookViewId="0">
      <selection activeCell="L16" sqref="L16:O16"/>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6.25" customHeight="1" thickTop="1" x14ac:dyDescent="0.2">
      <c r="B4" s="8" t="s">
        <v>6</v>
      </c>
      <c r="C4" s="9" t="s">
        <v>384</v>
      </c>
      <c r="D4" s="57" t="s">
        <v>385</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60.75" customHeight="1" thickBot="1" x14ac:dyDescent="0.25">
      <c r="B6" s="13" t="s">
        <v>16</v>
      </c>
      <c r="C6" s="60" t="s">
        <v>17</v>
      </c>
      <c r="D6" s="60"/>
      <c r="E6" s="60"/>
      <c r="F6" s="60"/>
      <c r="G6" s="60"/>
      <c r="H6" s="14"/>
      <c r="I6" s="14"/>
      <c r="J6" s="14" t="s">
        <v>18</v>
      </c>
      <c r="K6" s="60" t="s">
        <v>78</v>
      </c>
      <c r="L6" s="60"/>
      <c r="M6" s="60"/>
      <c r="N6" s="15"/>
      <c r="O6" s="16" t="s">
        <v>20</v>
      </c>
      <c r="P6" s="60" t="s">
        <v>112</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386</v>
      </c>
      <c r="D11" s="87"/>
      <c r="E11" s="87"/>
      <c r="F11" s="87"/>
      <c r="G11" s="87"/>
      <c r="H11" s="87"/>
      <c r="I11" s="87" t="s">
        <v>387</v>
      </c>
      <c r="J11" s="87"/>
      <c r="K11" s="87"/>
      <c r="L11" s="87" t="s">
        <v>388</v>
      </c>
      <c r="M11" s="87"/>
      <c r="N11" s="87"/>
      <c r="O11" s="87"/>
      <c r="P11" s="23" t="s">
        <v>42</v>
      </c>
      <c r="Q11" s="23" t="s">
        <v>43</v>
      </c>
      <c r="R11" s="23">
        <v>3</v>
      </c>
      <c r="S11" s="23">
        <v>2.5</v>
      </c>
      <c r="T11" s="23">
        <v>2.5</v>
      </c>
      <c r="U11" s="45">
        <f>100</f>
        <v>100</v>
      </c>
    </row>
    <row r="12" spans="1:21" ht="75" customHeight="1" thickTop="1" thickBot="1" x14ac:dyDescent="0.25">
      <c r="A12" s="21"/>
      <c r="B12" s="22" t="s">
        <v>44</v>
      </c>
      <c r="C12" s="87" t="s">
        <v>389</v>
      </c>
      <c r="D12" s="87"/>
      <c r="E12" s="87"/>
      <c r="F12" s="87"/>
      <c r="G12" s="87"/>
      <c r="H12" s="87"/>
      <c r="I12" s="87" t="s">
        <v>390</v>
      </c>
      <c r="J12" s="87"/>
      <c r="K12" s="87"/>
      <c r="L12" s="87" t="s">
        <v>391</v>
      </c>
      <c r="M12" s="87"/>
      <c r="N12" s="87"/>
      <c r="O12" s="87"/>
      <c r="P12" s="23" t="s">
        <v>42</v>
      </c>
      <c r="Q12" s="23" t="s">
        <v>43</v>
      </c>
      <c r="R12" s="23">
        <v>1</v>
      </c>
      <c r="S12" s="23">
        <v>1</v>
      </c>
      <c r="T12" s="23">
        <v>1</v>
      </c>
      <c r="U12" s="45">
        <f>100</f>
        <v>100</v>
      </c>
    </row>
    <row r="13" spans="1:21" ht="75" customHeight="1" thickTop="1" x14ac:dyDescent="0.2">
      <c r="A13" s="21"/>
      <c r="B13" s="22" t="s">
        <v>52</v>
      </c>
      <c r="C13" s="87" t="s">
        <v>392</v>
      </c>
      <c r="D13" s="87"/>
      <c r="E13" s="87"/>
      <c r="F13" s="87"/>
      <c r="G13" s="87"/>
      <c r="H13" s="87"/>
      <c r="I13" s="87" t="s">
        <v>393</v>
      </c>
      <c r="J13" s="87"/>
      <c r="K13" s="87"/>
      <c r="L13" s="87" t="s">
        <v>394</v>
      </c>
      <c r="M13" s="87"/>
      <c r="N13" s="87"/>
      <c r="O13" s="87"/>
      <c r="P13" s="23" t="s">
        <v>42</v>
      </c>
      <c r="Q13" s="23" t="s">
        <v>43</v>
      </c>
      <c r="R13" s="23">
        <v>100</v>
      </c>
      <c r="S13" s="23">
        <v>100</v>
      </c>
      <c r="T13" s="23">
        <v>198.33</v>
      </c>
      <c r="U13" s="45">
        <f>198</f>
        <v>198</v>
      </c>
    </row>
    <row r="14" spans="1:21" ht="93" customHeight="1" thickBot="1" x14ac:dyDescent="0.25">
      <c r="A14" s="21"/>
      <c r="B14" s="24" t="s">
        <v>49</v>
      </c>
      <c r="C14" s="88" t="s">
        <v>395</v>
      </c>
      <c r="D14" s="88"/>
      <c r="E14" s="88"/>
      <c r="F14" s="88"/>
      <c r="G14" s="88"/>
      <c r="H14" s="88"/>
      <c r="I14" s="88" t="s">
        <v>396</v>
      </c>
      <c r="J14" s="88"/>
      <c r="K14" s="88"/>
      <c r="L14" s="88" t="s">
        <v>397</v>
      </c>
      <c r="M14" s="88"/>
      <c r="N14" s="88"/>
      <c r="O14" s="88"/>
      <c r="P14" s="25" t="s">
        <v>42</v>
      </c>
      <c r="Q14" s="25" t="s">
        <v>56</v>
      </c>
      <c r="R14" s="25" t="s">
        <v>169</v>
      </c>
      <c r="S14" s="25">
        <v>100</v>
      </c>
      <c r="T14" s="25">
        <v>244</v>
      </c>
      <c r="U14" s="46">
        <f>244</f>
        <v>244</v>
      </c>
    </row>
    <row r="15" spans="1:21" ht="75" customHeight="1" thickTop="1" x14ac:dyDescent="0.2">
      <c r="A15" s="21"/>
      <c r="B15" s="22" t="s">
        <v>57</v>
      </c>
      <c r="C15" s="87" t="s">
        <v>398</v>
      </c>
      <c r="D15" s="87"/>
      <c r="E15" s="87"/>
      <c r="F15" s="87"/>
      <c r="G15" s="87"/>
      <c r="H15" s="87"/>
      <c r="I15" s="87" t="s">
        <v>259</v>
      </c>
      <c r="J15" s="87"/>
      <c r="K15" s="87"/>
      <c r="L15" s="87" t="s">
        <v>399</v>
      </c>
      <c r="M15" s="87"/>
      <c r="N15" s="87"/>
      <c r="O15" s="87"/>
      <c r="P15" s="23" t="s">
        <v>42</v>
      </c>
      <c r="Q15" s="23" t="s">
        <v>61</v>
      </c>
      <c r="R15" s="23">
        <v>100</v>
      </c>
      <c r="S15" s="23">
        <v>100</v>
      </c>
      <c r="T15" s="23">
        <v>115.38</v>
      </c>
      <c r="U15" s="45">
        <f>115.38</f>
        <v>115.38</v>
      </c>
    </row>
    <row r="16" spans="1:21" ht="75" customHeight="1" thickBot="1" x14ac:dyDescent="0.25">
      <c r="A16" s="21"/>
      <c r="B16" s="24" t="s">
        <v>49</v>
      </c>
      <c r="C16" s="88" t="s">
        <v>400</v>
      </c>
      <c r="D16" s="88"/>
      <c r="E16" s="88"/>
      <c r="F16" s="88"/>
      <c r="G16" s="88"/>
      <c r="H16" s="88"/>
      <c r="I16" s="88" t="s">
        <v>401</v>
      </c>
      <c r="J16" s="88"/>
      <c r="K16" s="88"/>
      <c r="L16" s="88" t="s">
        <v>402</v>
      </c>
      <c r="M16" s="88"/>
      <c r="N16" s="88"/>
      <c r="O16" s="88"/>
      <c r="P16" s="25" t="s">
        <v>42</v>
      </c>
      <c r="Q16" s="25" t="s">
        <v>61</v>
      </c>
      <c r="R16" s="25">
        <v>100</v>
      </c>
      <c r="S16" s="25">
        <v>100</v>
      </c>
      <c r="T16" s="25">
        <v>243.51</v>
      </c>
      <c r="U16" s="46">
        <f>243.51</f>
        <v>243.51</v>
      </c>
    </row>
    <row r="17" spans="2:22" ht="14.25" customHeight="1" thickTop="1" thickBot="1" x14ac:dyDescent="0.25">
      <c r="B17" s="4" t="s">
        <v>62</v>
      </c>
      <c r="C17" s="5"/>
      <c r="D17" s="5"/>
      <c r="E17" s="5"/>
      <c r="F17" s="5"/>
      <c r="G17" s="5"/>
      <c r="H17" s="6"/>
      <c r="I17" s="6"/>
      <c r="J17" s="6"/>
      <c r="K17" s="6"/>
      <c r="L17" s="6"/>
      <c r="M17" s="6"/>
      <c r="N17" s="6"/>
      <c r="O17" s="6"/>
      <c r="P17" s="6"/>
      <c r="Q17" s="6"/>
      <c r="R17" s="6"/>
      <c r="S17" s="6"/>
      <c r="T17" s="6"/>
      <c r="U17" s="7"/>
      <c r="V17" s="26"/>
    </row>
    <row r="18" spans="2:22" ht="26.25" customHeight="1" thickTop="1" x14ac:dyDescent="0.2">
      <c r="B18" s="27"/>
      <c r="C18" s="28"/>
      <c r="D18" s="28"/>
      <c r="E18" s="28"/>
      <c r="F18" s="28"/>
      <c r="G18" s="28"/>
      <c r="H18" s="29"/>
      <c r="I18" s="29"/>
      <c r="J18" s="29"/>
      <c r="K18" s="29"/>
      <c r="L18" s="29"/>
      <c r="M18" s="29"/>
      <c r="N18" s="29"/>
      <c r="O18" s="29"/>
      <c r="P18" s="29"/>
      <c r="Q18" s="29"/>
      <c r="R18" s="30"/>
      <c r="S18" s="31" t="s">
        <v>33</v>
      </c>
      <c r="T18" s="31" t="s">
        <v>63</v>
      </c>
      <c r="U18" s="18" t="s">
        <v>64</v>
      </c>
    </row>
    <row r="19" spans="2:22" ht="26.25" customHeight="1" thickBot="1" x14ac:dyDescent="0.25">
      <c r="B19" s="32"/>
      <c r="C19" s="33"/>
      <c r="D19" s="33"/>
      <c r="E19" s="33"/>
      <c r="F19" s="33"/>
      <c r="G19" s="33"/>
      <c r="H19" s="34"/>
      <c r="I19" s="34"/>
      <c r="J19" s="34"/>
      <c r="K19" s="34"/>
      <c r="L19" s="34"/>
      <c r="M19" s="34"/>
      <c r="N19" s="34"/>
      <c r="O19" s="34"/>
      <c r="P19" s="34"/>
      <c r="Q19" s="34"/>
      <c r="R19" s="34"/>
      <c r="S19" s="35" t="s">
        <v>65</v>
      </c>
      <c r="T19" s="36" t="s">
        <v>65</v>
      </c>
      <c r="U19" s="36" t="s">
        <v>66</v>
      </c>
    </row>
    <row r="20" spans="2:22" ht="13.5" customHeight="1" thickBot="1" x14ac:dyDescent="0.25">
      <c r="B20" s="95" t="s">
        <v>67</v>
      </c>
      <c r="C20" s="96"/>
      <c r="D20" s="96"/>
      <c r="E20" s="37"/>
      <c r="F20" s="37"/>
      <c r="G20" s="37"/>
      <c r="H20" s="38"/>
      <c r="I20" s="38"/>
      <c r="J20" s="38"/>
      <c r="K20" s="38"/>
      <c r="L20" s="38"/>
      <c r="M20" s="38"/>
      <c r="N20" s="38"/>
      <c r="O20" s="38"/>
      <c r="P20" s="39"/>
      <c r="Q20" s="39"/>
      <c r="R20" s="39"/>
      <c r="S20" s="47">
        <v>2785.9029860000001</v>
      </c>
      <c r="T20" s="47">
        <v>2138.78605659</v>
      </c>
      <c r="U20" s="48">
        <f>+IF(ISERR(T20/S20*100),"N/A",ROUND(T20/S20*100,1))</f>
        <v>76.8</v>
      </c>
    </row>
    <row r="21" spans="2:22" ht="13.5" customHeight="1" thickBot="1" x14ac:dyDescent="0.25">
      <c r="B21" s="97" t="s">
        <v>68</v>
      </c>
      <c r="C21" s="98"/>
      <c r="D21" s="98"/>
      <c r="E21" s="40"/>
      <c r="F21" s="40"/>
      <c r="G21" s="40"/>
      <c r="H21" s="41"/>
      <c r="I21" s="41"/>
      <c r="J21" s="41"/>
      <c r="K21" s="41"/>
      <c r="L21" s="41"/>
      <c r="M21" s="41"/>
      <c r="N21" s="41"/>
      <c r="O21" s="41"/>
      <c r="P21" s="42"/>
      <c r="Q21" s="42"/>
      <c r="R21" s="42"/>
      <c r="S21" s="47">
        <v>2138.78605659</v>
      </c>
      <c r="T21" s="47">
        <v>2138.78605659</v>
      </c>
      <c r="U21" s="48">
        <f>+IF(ISERR(T21/S21*100),"N/A",ROUND(T21/S21*100,1))</f>
        <v>100</v>
      </c>
    </row>
    <row r="22" spans="2:22" ht="14.85" customHeight="1" thickTop="1" thickBot="1" x14ac:dyDescent="0.25">
      <c r="B22" s="4" t="s">
        <v>69</v>
      </c>
      <c r="C22" s="5"/>
      <c r="D22" s="5"/>
      <c r="E22" s="5"/>
      <c r="F22" s="5"/>
      <c r="G22" s="5"/>
      <c r="H22" s="6"/>
      <c r="I22" s="6"/>
      <c r="J22" s="6"/>
      <c r="K22" s="6"/>
      <c r="L22" s="6"/>
      <c r="M22" s="6"/>
      <c r="N22" s="6"/>
      <c r="O22" s="6"/>
      <c r="P22" s="6"/>
      <c r="Q22" s="6"/>
      <c r="R22" s="6"/>
      <c r="S22" s="6"/>
      <c r="T22" s="6"/>
      <c r="U22" s="7"/>
    </row>
    <row r="23" spans="2:22" ht="44.25" customHeight="1" thickTop="1" x14ac:dyDescent="0.2">
      <c r="B23" s="99" t="s">
        <v>70</v>
      </c>
      <c r="C23" s="100"/>
      <c r="D23" s="100"/>
      <c r="E23" s="100"/>
      <c r="F23" s="100"/>
      <c r="G23" s="100"/>
      <c r="H23" s="100"/>
      <c r="I23" s="100"/>
      <c r="J23" s="100"/>
      <c r="K23" s="100"/>
      <c r="L23" s="100"/>
      <c r="M23" s="100"/>
      <c r="N23" s="100"/>
      <c r="O23" s="100"/>
      <c r="P23" s="100"/>
      <c r="Q23" s="100"/>
      <c r="R23" s="100"/>
      <c r="S23" s="100"/>
      <c r="T23" s="100"/>
      <c r="U23" s="101"/>
    </row>
    <row r="24" spans="2:22" ht="51.75" customHeight="1" x14ac:dyDescent="0.2">
      <c r="B24" s="89" t="s">
        <v>403</v>
      </c>
      <c r="C24" s="90"/>
      <c r="D24" s="90"/>
      <c r="E24" s="90"/>
      <c r="F24" s="90"/>
      <c r="G24" s="90"/>
      <c r="H24" s="90"/>
      <c r="I24" s="90"/>
      <c r="J24" s="90"/>
      <c r="K24" s="90"/>
      <c r="L24" s="90"/>
      <c r="M24" s="90"/>
      <c r="N24" s="90"/>
      <c r="O24" s="90"/>
      <c r="P24" s="90"/>
      <c r="Q24" s="90"/>
      <c r="R24" s="90"/>
      <c r="S24" s="90"/>
      <c r="T24" s="90"/>
      <c r="U24" s="91"/>
    </row>
    <row r="25" spans="2:22" ht="52.5" customHeight="1" x14ac:dyDescent="0.2">
      <c r="B25" s="89" t="s">
        <v>404</v>
      </c>
      <c r="C25" s="90"/>
      <c r="D25" s="90"/>
      <c r="E25" s="90"/>
      <c r="F25" s="90"/>
      <c r="G25" s="90"/>
      <c r="H25" s="90"/>
      <c r="I25" s="90"/>
      <c r="J25" s="90"/>
      <c r="K25" s="90"/>
      <c r="L25" s="90"/>
      <c r="M25" s="90"/>
      <c r="N25" s="90"/>
      <c r="O25" s="90"/>
      <c r="P25" s="90"/>
      <c r="Q25" s="90"/>
      <c r="R25" s="90"/>
      <c r="S25" s="90"/>
      <c r="T25" s="90"/>
      <c r="U25" s="91"/>
    </row>
    <row r="26" spans="2:22" ht="63.75" customHeight="1" x14ac:dyDescent="0.2">
      <c r="B26" s="89" t="s">
        <v>405</v>
      </c>
      <c r="C26" s="90"/>
      <c r="D26" s="90"/>
      <c r="E26" s="90"/>
      <c r="F26" s="90"/>
      <c r="G26" s="90"/>
      <c r="H26" s="90"/>
      <c r="I26" s="90"/>
      <c r="J26" s="90"/>
      <c r="K26" s="90"/>
      <c r="L26" s="90"/>
      <c r="M26" s="90"/>
      <c r="N26" s="90"/>
      <c r="O26" s="90"/>
      <c r="P26" s="90"/>
      <c r="Q26" s="90"/>
      <c r="R26" s="90"/>
      <c r="S26" s="90"/>
      <c r="T26" s="90"/>
      <c r="U26" s="91"/>
    </row>
    <row r="27" spans="2:22" ht="96.75" customHeight="1" x14ac:dyDescent="0.2">
      <c r="B27" s="89" t="s">
        <v>406</v>
      </c>
      <c r="C27" s="90"/>
      <c r="D27" s="90"/>
      <c r="E27" s="90"/>
      <c r="F27" s="90"/>
      <c r="G27" s="90"/>
      <c r="H27" s="90"/>
      <c r="I27" s="90"/>
      <c r="J27" s="90"/>
      <c r="K27" s="90"/>
      <c r="L27" s="90"/>
      <c r="M27" s="90"/>
      <c r="N27" s="90"/>
      <c r="O27" s="90"/>
      <c r="P27" s="90"/>
      <c r="Q27" s="90"/>
      <c r="R27" s="90"/>
      <c r="S27" s="90"/>
      <c r="T27" s="90"/>
      <c r="U27" s="91"/>
    </row>
    <row r="28" spans="2:22" ht="60" customHeight="1" x14ac:dyDescent="0.2">
      <c r="B28" s="89" t="s">
        <v>407</v>
      </c>
      <c r="C28" s="90"/>
      <c r="D28" s="90"/>
      <c r="E28" s="90"/>
      <c r="F28" s="90"/>
      <c r="G28" s="90"/>
      <c r="H28" s="90"/>
      <c r="I28" s="90"/>
      <c r="J28" s="90"/>
      <c r="K28" s="90"/>
      <c r="L28" s="90"/>
      <c r="M28" s="90"/>
      <c r="N28" s="90"/>
      <c r="O28" s="90"/>
      <c r="P28" s="90"/>
      <c r="Q28" s="90"/>
      <c r="R28" s="90"/>
      <c r="S28" s="90"/>
      <c r="T28" s="90"/>
      <c r="U28" s="91"/>
    </row>
    <row r="29" spans="2:22" ht="60" customHeight="1" thickBot="1" x14ac:dyDescent="0.25">
      <c r="B29" s="92" t="s">
        <v>408</v>
      </c>
      <c r="C29" s="93"/>
      <c r="D29" s="93"/>
      <c r="E29" s="93"/>
      <c r="F29" s="93"/>
      <c r="G29" s="93"/>
      <c r="H29" s="93"/>
      <c r="I29" s="93"/>
      <c r="J29" s="93"/>
      <c r="K29" s="93"/>
      <c r="L29" s="93"/>
      <c r="M29" s="93"/>
      <c r="N29" s="93"/>
      <c r="O29" s="93"/>
      <c r="P29" s="93"/>
      <c r="Q29" s="93"/>
      <c r="R29" s="93"/>
      <c r="S29" s="93"/>
      <c r="T29" s="93"/>
      <c r="U29" s="94"/>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56"/>
  <sheetViews>
    <sheetView view="pageBreakPreview" topLeftCell="A28" zoomScale="80" zoomScaleNormal="80" zoomScaleSheetLayoutView="80" workbookViewId="0">
      <selection activeCell="T35" sqref="T34:T35"/>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409</v>
      </c>
      <c r="D4" s="57" t="s">
        <v>410</v>
      </c>
      <c r="E4" s="57"/>
      <c r="F4" s="57"/>
      <c r="G4" s="57"/>
      <c r="H4" s="57"/>
      <c r="I4" s="10"/>
      <c r="J4" s="11" t="s">
        <v>9</v>
      </c>
      <c r="K4" s="12" t="s">
        <v>10</v>
      </c>
      <c r="L4" s="58" t="s">
        <v>11</v>
      </c>
      <c r="M4" s="58"/>
      <c r="N4" s="58"/>
      <c r="O4" s="58"/>
      <c r="P4" s="11" t="s">
        <v>12</v>
      </c>
      <c r="Q4" s="58" t="s">
        <v>411</v>
      </c>
      <c r="R4" s="58"/>
      <c r="S4" s="11" t="s">
        <v>14</v>
      </c>
      <c r="T4" s="58" t="s">
        <v>140</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54.75" customHeight="1" thickBot="1" x14ac:dyDescent="0.25">
      <c r="B6" s="13" t="s">
        <v>16</v>
      </c>
      <c r="C6" s="60" t="s">
        <v>316</v>
      </c>
      <c r="D6" s="60"/>
      <c r="E6" s="60"/>
      <c r="F6" s="60"/>
      <c r="G6" s="60"/>
      <c r="H6" s="14"/>
      <c r="I6" s="14"/>
      <c r="J6" s="14" t="s">
        <v>18</v>
      </c>
      <c r="K6" s="60" t="s">
        <v>317</v>
      </c>
      <c r="L6" s="60"/>
      <c r="M6" s="60"/>
      <c r="N6" s="15"/>
      <c r="O6" s="16" t="s">
        <v>20</v>
      </c>
      <c r="P6" s="60" t="s">
        <v>412</v>
      </c>
      <c r="Q6" s="60"/>
      <c r="R6" s="17"/>
      <c r="S6" s="16" t="s">
        <v>22</v>
      </c>
      <c r="T6" s="60" t="s">
        <v>413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02.75" customHeight="1" thickTop="1" x14ac:dyDescent="0.2">
      <c r="A11" s="21"/>
      <c r="B11" s="22" t="s">
        <v>38</v>
      </c>
      <c r="C11" s="87" t="s">
        <v>414</v>
      </c>
      <c r="D11" s="87"/>
      <c r="E11" s="87"/>
      <c r="F11" s="87"/>
      <c r="G11" s="87"/>
      <c r="H11" s="87"/>
      <c r="I11" s="87" t="s">
        <v>415</v>
      </c>
      <c r="J11" s="87"/>
      <c r="K11" s="87"/>
      <c r="L11" s="87" t="s">
        <v>416</v>
      </c>
      <c r="M11" s="87"/>
      <c r="N11" s="87"/>
      <c r="O11" s="87"/>
      <c r="P11" s="23" t="s">
        <v>42</v>
      </c>
      <c r="Q11" s="23" t="s">
        <v>43</v>
      </c>
      <c r="R11" s="23">
        <v>100</v>
      </c>
      <c r="S11" s="23">
        <v>0</v>
      </c>
      <c r="T11" s="23">
        <v>107.44</v>
      </c>
      <c r="U11" s="45">
        <f>107.44</f>
        <v>107.44</v>
      </c>
    </row>
    <row r="12" spans="1:21" ht="75" customHeight="1" thickBot="1" x14ac:dyDescent="0.25">
      <c r="A12" s="21"/>
      <c r="B12" s="24" t="s">
        <v>49</v>
      </c>
      <c r="C12" s="88" t="s">
        <v>49</v>
      </c>
      <c r="D12" s="88"/>
      <c r="E12" s="88"/>
      <c r="F12" s="88"/>
      <c r="G12" s="88"/>
      <c r="H12" s="88"/>
      <c r="I12" s="88" t="s">
        <v>417</v>
      </c>
      <c r="J12" s="88"/>
      <c r="K12" s="88"/>
      <c r="L12" s="88" t="s">
        <v>418</v>
      </c>
      <c r="M12" s="88"/>
      <c r="N12" s="88"/>
      <c r="O12" s="88"/>
      <c r="P12" s="25" t="s">
        <v>42</v>
      </c>
      <c r="Q12" s="25" t="s">
        <v>419</v>
      </c>
      <c r="R12" s="25" t="s">
        <v>169</v>
      </c>
      <c r="S12" s="25">
        <v>99</v>
      </c>
      <c r="T12" s="25">
        <v>99</v>
      </c>
      <c r="U12" s="46">
        <f>100</f>
        <v>100</v>
      </c>
    </row>
    <row r="13" spans="1:21" ht="90.75" customHeight="1" thickTop="1" x14ac:dyDescent="0.2">
      <c r="A13" s="21"/>
      <c r="B13" s="22" t="s">
        <v>44</v>
      </c>
      <c r="C13" s="87" t="s">
        <v>420</v>
      </c>
      <c r="D13" s="87"/>
      <c r="E13" s="87"/>
      <c r="F13" s="87"/>
      <c r="G13" s="87"/>
      <c r="H13" s="87"/>
      <c r="I13" s="87" t="s">
        <v>421</v>
      </c>
      <c r="J13" s="87"/>
      <c r="K13" s="87"/>
      <c r="L13" s="87" t="s">
        <v>422</v>
      </c>
      <c r="M13" s="87"/>
      <c r="N13" s="87"/>
      <c r="O13" s="87"/>
      <c r="P13" s="23" t="s">
        <v>42</v>
      </c>
      <c r="Q13" s="23" t="s">
        <v>56</v>
      </c>
      <c r="R13" s="23">
        <v>1.58</v>
      </c>
      <c r="S13" s="23">
        <v>1.58</v>
      </c>
      <c r="T13" s="23">
        <v>1.37</v>
      </c>
      <c r="U13" s="45">
        <f>86.7</f>
        <v>86.7</v>
      </c>
    </row>
    <row r="14" spans="1:21" ht="104.25" customHeight="1" x14ac:dyDescent="0.2">
      <c r="A14" s="21"/>
      <c r="B14" s="24" t="s">
        <v>49</v>
      </c>
      <c r="C14" s="88" t="s">
        <v>49</v>
      </c>
      <c r="D14" s="88"/>
      <c r="E14" s="88"/>
      <c r="F14" s="88"/>
      <c r="G14" s="88"/>
      <c r="H14" s="88"/>
      <c r="I14" s="88" t="s">
        <v>423</v>
      </c>
      <c r="J14" s="88"/>
      <c r="K14" s="88"/>
      <c r="L14" s="88" t="s">
        <v>424</v>
      </c>
      <c r="M14" s="88"/>
      <c r="N14" s="88"/>
      <c r="O14" s="88"/>
      <c r="P14" s="25" t="s">
        <v>42</v>
      </c>
      <c r="Q14" s="25" t="s">
        <v>48</v>
      </c>
      <c r="R14" s="25">
        <v>0.05</v>
      </c>
      <c r="S14" s="25">
        <v>80</v>
      </c>
      <c r="T14" s="25">
        <v>83.56</v>
      </c>
      <c r="U14" s="46">
        <f>104.45</f>
        <v>104.45</v>
      </c>
    </row>
    <row r="15" spans="1:21" ht="75" customHeight="1" thickBot="1" x14ac:dyDescent="0.25">
      <c r="A15" s="21"/>
      <c r="B15" s="24" t="s">
        <v>49</v>
      </c>
      <c r="C15" s="88" t="s">
        <v>49</v>
      </c>
      <c r="D15" s="88"/>
      <c r="E15" s="88"/>
      <c r="F15" s="88"/>
      <c r="G15" s="88"/>
      <c r="H15" s="88"/>
      <c r="I15" s="88" t="s">
        <v>425</v>
      </c>
      <c r="J15" s="88"/>
      <c r="K15" s="88"/>
      <c r="L15" s="88" t="s">
        <v>426</v>
      </c>
      <c r="M15" s="88"/>
      <c r="N15" s="88"/>
      <c r="O15" s="88"/>
      <c r="P15" s="25" t="s">
        <v>42</v>
      </c>
      <c r="Q15" s="25" t="s">
        <v>43</v>
      </c>
      <c r="R15" s="25">
        <v>99.67</v>
      </c>
      <c r="S15" s="25">
        <v>99</v>
      </c>
      <c r="T15" s="25">
        <v>98.34</v>
      </c>
      <c r="U15" s="46">
        <f>99.33</f>
        <v>99.33</v>
      </c>
    </row>
    <row r="16" spans="1:21" ht="75" customHeight="1" thickTop="1" x14ac:dyDescent="0.2">
      <c r="A16" s="21"/>
      <c r="B16" s="22" t="s">
        <v>52</v>
      </c>
      <c r="C16" s="87" t="s">
        <v>427</v>
      </c>
      <c r="D16" s="87"/>
      <c r="E16" s="87"/>
      <c r="F16" s="87"/>
      <c r="G16" s="87"/>
      <c r="H16" s="87"/>
      <c r="I16" s="87" t="s">
        <v>428</v>
      </c>
      <c r="J16" s="87"/>
      <c r="K16" s="87"/>
      <c r="L16" s="87" t="s">
        <v>429</v>
      </c>
      <c r="M16" s="87"/>
      <c r="N16" s="87"/>
      <c r="O16" s="87"/>
      <c r="P16" s="23" t="s">
        <v>42</v>
      </c>
      <c r="Q16" s="23" t="s">
        <v>48</v>
      </c>
      <c r="R16" s="23">
        <v>48</v>
      </c>
      <c r="S16" s="23">
        <v>48</v>
      </c>
      <c r="T16" s="23">
        <v>39.19</v>
      </c>
      <c r="U16" s="45">
        <f>81.64</f>
        <v>81.64</v>
      </c>
    </row>
    <row r="17" spans="1:22" ht="123.75" customHeight="1" x14ac:dyDescent="0.2">
      <c r="A17" s="21"/>
      <c r="B17" s="24" t="s">
        <v>49</v>
      </c>
      <c r="C17" s="88" t="s">
        <v>49</v>
      </c>
      <c r="D17" s="88"/>
      <c r="E17" s="88"/>
      <c r="F17" s="88"/>
      <c r="G17" s="88"/>
      <c r="H17" s="88"/>
      <c r="I17" s="88" t="s">
        <v>430</v>
      </c>
      <c r="J17" s="88"/>
      <c r="K17" s="88"/>
      <c r="L17" s="88" t="s">
        <v>431</v>
      </c>
      <c r="M17" s="88"/>
      <c r="N17" s="88"/>
      <c r="O17" s="88"/>
      <c r="P17" s="25" t="s">
        <v>42</v>
      </c>
      <c r="Q17" s="25" t="s">
        <v>179</v>
      </c>
      <c r="R17" s="25" t="s">
        <v>169</v>
      </c>
      <c r="S17" s="25">
        <v>100</v>
      </c>
      <c r="T17" s="25">
        <v>82.49</v>
      </c>
      <c r="U17" s="46">
        <f>82.49</f>
        <v>82.49</v>
      </c>
    </row>
    <row r="18" spans="1:22" ht="102" customHeight="1" x14ac:dyDescent="0.2">
      <c r="A18" s="21"/>
      <c r="B18" s="24" t="s">
        <v>49</v>
      </c>
      <c r="C18" s="88" t="s">
        <v>432</v>
      </c>
      <c r="D18" s="88"/>
      <c r="E18" s="88"/>
      <c r="F18" s="88"/>
      <c r="G18" s="88"/>
      <c r="H18" s="88"/>
      <c r="I18" s="88" t="s">
        <v>433</v>
      </c>
      <c r="J18" s="88"/>
      <c r="K18" s="88"/>
      <c r="L18" s="88" t="s">
        <v>434</v>
      </c>
      <c r="M18" s="88"/>
      <c r="N18" s="88"/>
      <c r="O18" s="88"/>
      <c r="P18" s="25" t="s">
        <v>42</v>
      </c>
      <c r="Q18" s="25" t="s">
        <v>179</v>
      </c>
      <c r="R18" s="25">
        <v>16.670000000000002</v>
      </c>
      <c r="S18" s="25">
        <v>9.91</v>
      </c>
      <c r="T18" s="25">
        <v>8.94</v>
      </c>
      <c r="U18" s="46">
        <f>90.22</f>
        <v>90.22</v>
      </c>
    </row>
    <row r="19" spans="1:22" ht="96" customHeight="1" x14ac:dyDescent="0.2">
      <c r="A19" s="21"/>
      <c r="B19" s="24" t="s">
        <v>49</v>
      </c>
      <c r="C19" s="88" t="s">
        <v>49</v>
      </c>
      <c r="D19" s="88"/>
      <c r="E19" s="88"/>
      <c r="F19" s="88"/>
      <c r="G19" s="88"/>
      <c r="H19" s="88"/>
      <c r="I19" s="88" t="s">
        <v>435</v>
      </c>
      <c r="J19" s="88"/>
      <c r="K19" s="88"/>
      <c r="L19" s="88" t="s">
        <v>436</v>
      </c>
      <c r="M19" s="88"/>
      <c r="N19" s="88"/>
      <c r="O19" s="88"/>
      <c r="P19" s="25" t="s">
        <v>42</v>
      </c>
      <c r="Q19" s="25" t="s">
        <v>48</v>
      </c>
      <c r="R19" s="25">
        <v>16.670000000000002</v>
      </c>
      <c r="S19" s="25">
        <v>16.72</v>
      </c>
      <c r="T19" s="25">
        <v>16.72</v>
      </c>
      <c r="U19" s="46">
        <f>100</f>
        <v>100</v>
      </c>
    </row>
    <row r="20" spans="1:22" ht="104.25" customHeight="1" x14ac:dyDescent="0.2">
      <c r="A20" s="21"/>
      <c r="B20" s="24" t="s">
        <v>49</v>
      </c>
      <c r="C20" s="88" t="s">
        <v>437</v>
      </c>
      <c r="D20" s="88"/>
      <c r="E20" s="88"/>
      <c r="F20" s="88"/>
      <c r="G20" s="88"/>
      <c r="H20" s="88"/>
      <c r="I20" s="88" t="s">
        <v>438</v>
      </c>
      <c r="J20" s="88"/>
      <c r="K20" s="88"/>
      <c r="L20" s="88" t="s">
        <v>439</v>
      </c>
      <c r="M20" s="88"/>
      <c r="N20" s="88"/>
      <c r="O20" s="88"/>
      <c r="P20" s="25" t="s">
        <v>42</v>
      </c>
      <c r="Q20" s="25" t="s">
        <v>179</v>
      </c>
      <c r="R20" s="25">
        <v>42.78</v>
      </c>
      <c r="S20" s="25">
        <v>59.42</v>
      </c>
      <c r="T20" s="25">
        <v>49.37</v>
      </c>
      <c r="U20" s="46">
        <f>83.08</f>
        <v>83.08</v>
      </c>
    </row>
    <row r="21" spans="1:22" ht="75" customHeight="1" x14ac:dyDescent="0.2">
      <c r="A21" s="21"/>
      <c r="B21" s="24" t="s">
        <v>49</v>
      </c>
      <c r="C21" s="88" t="s">
        <v>49</v>
      </c>
      <c r="D21" s="88"/>
      <c r="E21" s="88"/>
      <c r="F21" s="88"/>
      <c r="G21" s="88"/>
      <c r="H21" s="88"/>
      <c r="I21" s="88" t="s">
        <v>440</v>
      </c>
      <c r="J21" s="88"/>
      <c r="K21" s="88"/>
      <c r="L21" s="88" t="s">
        <v>441</v>
      </c>
      <c r="M21" s="88"/>
      <c r="N21" s="88"/>
      <c r="O21" s="88"/>
      <c r="P21" s="25" t="s">
        <v>42</v>
      </c>
      <c r="Q21" s="25" t="s">
        <v>179</v>
      </c>
      <c r="R21" s="25">
        <v>20.100000000000001</v>
      </c>
      <c r="S21" s="25">
        <v>31.42</v>
      </c>
      <c r="T21" s="25">
        <v>22.65</v>
      </c>
      <c r="U21" s="46">
        <f>72.08</f>
        <v>72.08</v>
      </c>
    </row>
    <row r="22" spans="1:22" ht="116.25" customHeight="1" x14ac:dyDescent="0.2">
      <c r="A22" s="21"/>
      <c r="B22" s="24" t="s">
        <v>49</v>
      </c>
      <c r="C22" s="88" t="s">
        <v>442</v>
      </c>
      <c r="D22" s="88"/>
      <c r="E22" s="88"/>
      <c r="F22" s="88"/>
      <c r="G22" s="88"/>
      <c r="H22" s="88"/>
      <c r="I22" s="88" t="s">
        <v>443</v>
      </c>
      <c r="J22" s="88"/>
      <c r="K22" s="88"/>
      <c r="L22" s="88" t="s">
        <v>444</v>
      </c>
      <c r="M22" s="88"/>
      <c r="N22" s="88"/>
      <c r="O22" s="88"/>
      <c r="P22" s="25" t="s">
        <v>42</v>
      </c>
      <c r="Q22" s="25" t="s">
        <v>179</v>
      </c>
      <c r="R22" s="25">
        <v>16.670000000000002</v>
      </c>
      <c r="S22" s="25">
        <v>16.670000000000002</v>
      </c>
      <c r="T22" s="25">
        <v>28.53</v>
      </c>
      <c r="U22" s="46">
        <f>171.14</f>
        <v>171.14</v>
      </c>
    </row>
    <row r="23" spans="1:22" ht="107.25" customHeight="1" x14ac:dyDescent="0.2">
      <c r="A23" s="21"/>
      <c r="B23" s="24" t="s">
        <v>49</v>
      </c>
      <c r="C23" s="88" t="s">
        <v>49</v>
      </c>
      <c r="D23" s="88"/>
      <c r="E23" s="88"/>
      <c r="F23" s="88"/>
      <c r="G23" s="88"/>
      <c r="H23" s="88"/>
      <c r="I23" s="88" t="s">
        <v>445</v>
      </c>
      <c r="J23" s="88"/>
      <c r="K23" s="88"/>
      <c r="L23" s="88" t="s">
        <v>446</v>
      </c>
      <c r="M23" s="88"/>
      <c r="N23" s="88"/>
      <c r="O23" s="88"/>
      <c r="P23" s="25" t="s">
        <v>42</v>
      </c>
      <c r="Q23" s="25" t="s">
        <v>179</v>
      </c>
      <c r="R23" s="25">
        <v>16.670000000000002</v>
      </c>
      <c r="S23" s="25">
        <v>12.78</v>
      </c>
      <c r="T23" s="25">
        <v>15.83</v>
      </c>
      <c r="U23" s="46">
        <f>123.86</f>
        <v>123.86</v>
      </c>
    </row>
    <row r="24" spans="1:22" ht="107.25" customHeight="1" x14ac:dyDescent="0.2">
      <c r="A24" s="21"/>
      <c r="B24" s="24" t="s">
        <v>49</v>
      </c>
      <c r="C24" s="88" t="s">
        <v>49</v>
      </c>
      <c r="D24" s="88"/>
      <c r="E24" s="88"/>
      <c r="F24" s="88"/>
      <c r="G24" s="88"/>
      <c r="H24" s="88"/>
      <c r="I24" s="88" t="s">
        <v>447</v>
      </c>
      <c r="J24" s="88"/>
      <c r="K24" s="88"/>
      <c r="L24" s="88" t="s">
        <v>448</v>
      </c>
      <c r="M24" s="88"/>
      <c r="N24" s="88"/>
      <c r="O24" s="88"/>
      <c r="P24" s="25" t="s">
        <v>42</v>
      </c>
      <c r="Q24" s="25" t="s">
        <v>61</v>
      </c>
      <c r="R24" s="25">
        <v>16.670000000000002</v>
      </c>
      <c r="S24" s="25">
        <v>16.670000000000002</v>
      </c>
      <c r="T24" s="25">
        <v>20.3</v>
      </c>
      <c r="U24" s="46">
        <f>121.77</f>
        <v>121.77</v>
      </c>
    </row>
    <row r="25" spans="1:22" ht="130.5" customHeight="1" thickBot="1" x14ac:dyDescent="0.25">
      <c r="A25" s="21"/>
      <c r="B25" s="24" t="s">
        <v>49</v>
      </c>
      <c r="C25" s="88" t="s">
        <v>449</v>
      </c>
      <c r="D25" s="88"/>
      <c r="E25" s="88"/>
      <c r="F25" s="88"/>
      <c r="G25" s="88"/>
      <c r="H25" s="88"/>
      <c r="I25" s="88" t="s">
        <v>450</v>
      </c>
      <c r="J25" s="88"/>
      <c r="K25" s="88"/>
      <c r="L25" s="88" t="s">
        <v>451</v>
      </c>
      <c r="M25" s="88"/>
      <c r="N25" s="88"/>
      <c r="O25" s="88"/>
      <c r="P25" s="25" t="s">
        <v>42</v>
      </c>
      <c r="Q25" s="25" t="s">
        <v>56</v>
      </c>
      <c r="R25" s="25">
        <v>16.670000000000002</v>
      </c>
      <c r="S25" s="25">
        <v>16.670000000000002</v>
      </c>
      <c r="T25" s="25">
        <v>15.68</v>
      </c>
      <c r="U25" s="46">
        <f>94.06</f>
        <v>94.06</v>
      </c>
    </row>
    <row r="26" spans="1:22" ht="87" customHeight="1" thickTop="1" x14ac:dyDescent="0.2">
      <c r="A26" s="21"/>
      <c r="B26" s="22" t="s">
        <v>57</v>
      </c>
      <c r="C26" s="87" t="s">
        <v>452</v>
      </c>
      <c r="D26" s="87"/>
      <c r="E26" s="87"/>
      <c r="F26" s="87"/>
      <c r="G26" s="87"/>
      <c r="H26" s="87"/>
      <c r="I26" s="87" t="s">
        <v>453</v>
      </c>
      <c r="J26" s="87"/>
      <c r="K26" s="87"/>
      <c r="L26" s="87" t="s">
        <v>454</v>
      </c>
      <c r="M26" s="87"/>
      <c r="N26" s="87"/>
      <c r="O26" s="87"/>
      <c r="P26" s="23" t="s">
        <v>42</v>
      </c>
      <c r="Q26" s="23" t="s">
        <v>179</v>
      </c>
      <c r="R26" s="23">
        <v>97</v>
      </c>
      <c r="S26" s="23">
        <v>95.85</v>
      </c>
      <c r="T26" s="23">
        <v>88.1</v>
      </c>
      <c r="U26" s="45">
        <f>91.91</f>
        <v>91.91</v>
      </c>
    </row>
    <row r="27" spans="1:22" ht="75" customHeight="1" x14ac:dyDescent="0.2">
      <c r="A27" s="21"/>
      <c r="B27" s="24" t="s">
        <v>49</v>
      </c>
      <c r="C27" s="88" t="s">
        <v>455</v>
      </c>
      <c r="D27" s="88"/>
      <c r="E27" s="88"/>
      <c r="F27" s="88"/>
      <c r="G27" s="88"/>
      <c r="H27" s="88"/>
      <c r="I27" s="88" t="s">
        <v>456</v>
      </c>
      <c r="J27" s="88"/>
      <c r="K27" s="88"/>
      <c r="L27" s="88" t="s">
        <v>457</v>
      </c>
      <c r="M27" s="88"/>
      <c r="N27" s="88"/>
      <c r="O27" s="88"/>
      <c r="P27" s="25" t="s">
        <v>42</v>
      </c>
      <c r="Q27" s="25" t="s">
        <v>179</v>
      </c>
      <c r="R27" s="25">
        <v>58.77</v>
      </c>
      <c r="S27" s="25">
        <v>49.55</v>
      </c>
      <c r="T27" s="25">
        <v>69.989999999999995</v>
      </c>
      <c r="U27" s="46">
        <f>141.25</f>
        <v>141.25</v>
      </c>
    </row>
    <row r="28" spans="1:22" ht="75" customHeight="1" x14ac:dyDescent="0.2">
      <c r="A28" s="21"/>
      <c r="B28" s="24" t="s">
        <v>49</v>
      </c>
      <c r="C28" s="88" t="s">
        <v>458</v>
      </c>
      <c r="D28" s="88"/>
      <c r="E28" s="88"/>
      <c r="F28" s="88"/>
      <c r="G28" s="88"/>
      <c r="H28" s="88"/>
      <c r="I28" s="88" t="s">
        <v>459</v>
      </c>
      <c r="J28" s="88"/>
      <c r="K28" s="88"/>
      <c r="L28" s="88" t="s">
        <v>460</v>
      </c>
      <c r="M28" s="88"/>
      <c r="N28" s="88"/>
      <c r="O28" s="88"/>
      <c r="P28" s="25" t="s">
        <v>42</v>
      </c>
      <c r="Q28" s="25" t="s">
        <v>179</v>
      </c>
      <c r="R28" s="25">
        <v>97.74</v>
      </c>
      <c r="S28" s="25">
        <v>99.23</v>
      </c>
      <c r="T28" s="25">
        <v>95.99</v>
      </c>
      <c r="U28" s="46">
        <f>96.73</f>
        <v>96.73</v>
      </c>
    </row>
    <row r="29" spans="1:22" ht="75" customHeight="1" x14ac:dyDescent="0.2">
      <c r="A29" s="21"/>
      <c r="B29" s="24" t="s">
        <v>49</v>
      </c>
      <c r="C29" s="88" t="s">
        <v>461</v>
      </c>
      <c r="D29" s="88"/>
      <c r="E29" s="88"/>
      <c r="F29" s="88"/>
      <c r="G29" s="88"/>
      <c r="H29" s="88"/>
      <c r="I29" s="88" t="s">
        <v>462</v>
      </c>
      <c r="J29" s="88"/>
      <c r="K29" s="88"/>
      <c r="L29" s="88" t="s">
        <v>463</v>
      </c>
      <c r="M29" s="88"/>
      <c r="N29" s="88"/>
      <c r="O29" s="88"/>
      <c r="P29" s="25" t="s">
        <v>42</v>
      </c>
      <c r="Q29" s="25" t="s">
        <v>179</v>
      </c>
      <c r="R29" s="25">
        <v>64.28</v>
      </c>
      <c r="S29" s="25">
        <v>62.68</v>
      </c>
      <c r="T29" s="25">
        <v>65.89</v>
      </c>
      <c r="U29" s="46">
        <f>105.12</f>
        <v>105.12</v>
      </c>
    </row>
    <row r="30" spans="1:22" ht="75" customHeight="1" thickBot="1" x14ac:dyDescent="0.25">
      <c r="A30" s="21"/>
      <c r="B30" s="24" t="s">
        <v>49</v>
      </c>
      <c r="C30" s="88" t="s">
        <v>464</v>
      </c>
      <c r="D30" s="88"/>
      <c r="E30" s="88"/>
      <c r="F30" s="88"/>
      <c r="G30" s="88"/>
      <c r="H30" s="88"/>
      <c r="I30" s="88" t="s">
        <v>465</v>
      </c>
      <c r="J30" s="88"/>
      <c r="K30" s="88"/>
      <c r="L30" s="88" t="s">
        <v>466</v>
      </c>
      <c r="M30" s="88"/>
      <c r="N30" s="88"/>
      <c r="O30" s="88"/>
      <c r="P30" s="25" t="s">
        <v>42</v>
      </c>
      <c r="Q30" s="25" t="s">
        <v>179</v>
      </c>
      <c r="R30" s="25">
        <v>100</v>
      </c>
      <c r="S30" s="25">
        <v>100</v>
      </c>
      <c r="T30" s="25">
        <v>100.76</v>
      </c>
      <c r="U30" s="46">
        <f>100.76</f>
        <v>100.76</v>
      </c>
    </row>
    <row r="31" spans="1:22" ht="14.25" customHeight="1" thickTop="1" thickBot="1" x14ac:dyDescent="0.25">
      <c r="B31" s="4" t="s">
        <v>62</v>
      </c>
      <c r="C31" s="5"/>
      <c r="D31" s="5"/>
      <c r="E31" s="5"/>
      <c r="F31" s="5"/>
      <c r="G31" s="5"/>
      <c r="H31" s="6"/>
      <c r="I31" s="6"/>
      <c r="J31" s="6"/>
      <c r="K31" s="6"/>
      <c r="L31" s="6"/>
      <c r="M31" s="6"/>
      <c r="N31" s="6"/>
      <c r="O31" s="6"/>
      <c r="P31" s="6"/>
      <c r="Q31" s="6"/>
      <c r="R31" s="6"/>
      <c r="S31" s="6"/>
      <c r="T31" s="6"/>
      <c r="U31" s="7"/>
      <c r="V31" s="26"/>
    </row>
    <row r="32" spans="1:22" ht="26.25" customHeight="1" thickTop="1" x14ac:dyDescent="0.2">
      <c r="B32" s="27"/>
      <c r="C32" s="28"/>
      <c r="D32" s="28"/>
      <c r="E32" s="28"/>
      <c r="F32" s="28"/>
      <c r="G32" s="28"/>
      <c r="H32" s="29"/>
      <c r="I32" s="29"/>
      <c r="J32" s="29"/>
      <c r="K32" s="29"/>
      <c r="L32" s="29"/>
      <c r="M32" s="29"/>
      <c r="N32" s="29"/>
      <c r="O32" s="29"/>
      <c r="P32" s="29"/>
      <c r="Q32" s="29"/>
      <c r="R32" s="30"/>
      <c r="S32" s="31" t="s">
        <v>33</v>
      </c>
      <c r="T32" s="31" t="s">
        <v>63</v>
      </c>
      <c r="U32" s="18" t="s">
        <v>64</v>
      </c>
    </row>
    <row r="33" spans="2:21" ht="26.25" customHeight="1" thickBot="1" x14ac:dyDescent="0.25">
      <c r="B33" s="32"/>
      <c r="C33" s="33"/>
      <c r="D33" s="33"/>
      <c r="E33" s="33"/>
      <c r="F33" s="33"/>
      <c r="G33" s="33"/>
      <c r="H33" s="34"/>
      <c r="I33" s="34"/>
      <c r="J33" s="34"/>
      <c r="K33" s="34"/>
      <c r="L33" s="34"/>
      <c r="M33" s="34"/>
      <c r="N33" s="34"/>
      <c r="O33" s="34"/>
      <c r="P33" s="34"/>
      <c r="Q33" s="34"/>
      <c r="R33" s="34"/>
      <c r="S33" s="35" t="s">
        <v>65</v>
      </c>
      <c r="T33" s="36" t="s">
        <v>65</v>
      </c>
      <c r="U33" s="36" t="s">
        <v>66</v>
      </c>
    </row>
    <row r="34" spans="2:21" ht="13.5" customHeight="1" thickBot="1" x14ac:dyDescent="0.25">
      <c r="B34" s="95" t="s">
        <v>67</v>
      </c>
      <c r="C34" s="96"/>
      <c r="D34" s="96"/>
      <c r="E34" s="37"/>
      <c r="F34" s="37"/>
      <c r="G34" s="37"/>
      <c r="H34" s="38"/>
      <c r="I34" s="38"/>
      <c r="J34" s="38"/>
      <c r="K34" s="38"/>
      <c r="L34" s="38"/>
      <c r="M34" s="38"/>
      <c r="N34" s="38"/>
      <c r="O34" s="38"/>
      <c r="P34" s="39"/>
      <c r="Q34" s="39"/>
      <c r="R34" s="39"/>
      <c r="S34" s="47">
        <v>2055.924</v>
      </c>
      <c r="T34" s="47">
        <v>1883.1611868700004</v>
      </c>
      <c r="U34" s="48">
        <f>+IF(ISERR(T34/S34*100),"N/A",ROUND(T34/S34*100,1))</f>
        <v>91.6</v>
      </c>
    </row>
    <row r="35" spans="2:21" ht="13.5" customHeight="1" thickBot="1" x14ac:dyDescent="0.25">
      <c r="B35" s="97" t="s">
        <v>68</v>
      </c>
      <c r="C35" s="98"/>
      <c r="D35" s="98"/>
      <c r="E35" s="40"/>
      <c r="F35" s="40"/>
      <c r="G35" s="40"/>
      <c r="H35" s="41"/>
      <c r="I35" s="41"/>
      <c r="J35" s="41"/>
      <c r="K35" s="41"/>
      <c r="L35" s="41"/>
      <c r="M35" s="41"/>
      <c r="N35" s="41"/>
      <c r="O35" s="41"/>
      <c r="P35" s="42"/>
      <c r="Q35" s="42"/>
      <c r="R35" s="42"/>
      <c r="S35" s="47">
        <v>1883.1611868700002</v>
      </c>
      <c r="T35" s="47">
        <v>1883.1611868700004</v>
      </c>
      <c r="U35" s="48">
        <f>+IF(ISERR(T35/S35*100),"N/A",ROUND(T35/S35*100,1))</f>
        <v>100</v>
      </c>
    </row>
    <row r="36" spans="2:21" ht="14.85" customHeight="1" thickTop="1" thickBot="1" x14ac:dyDescent="0.25">
      <c r="B36" s="4" t="s">
        <v>69</v>
      </c>
      <c r="C36" s="5"/>
      <c r="D36" s="5"/>
      <c r="E36" s="5"/>
      <c r="F36" s="5"/>
      <c r="G36" s="5"/>
      <c r="H36" s="6"/>
      <c r="I36" s="6"/>
      <c r="J36" s="6"/>
      <c r="K36" s="6"/>
      <c r="L36" s="6"/>
      <c r="M36" s="6"/>
      <c r="N36" s="6"/>
      <c r="O36" s="6"/>
      <c r="P36" s="6"/>
      <c r="Q36" s="6"/>
      <c r="R36" s="6"/>
      <c r="S36" s="6"/>
      <c r="T36" s="6"/>
      <c r="U36" s="7"/>
    </row>
    <row r="37" spans="2:21" ht="44.25" customHeight="1" thickTop="1" x14ac:dyDescent="0.2">
      <c r="B37" s="99" t="s">
        <v>70</v>
      </c>
      <c r="C37" s="100"/>
      <c r="D37" s="100"/>
      <c r="E37" s="100"/>
      <c r="F37" s="100"/>
      <c r="G37" s="100"/>
      <c r="H37" s="100"/>
      <c r="I37" s="100"/>
      <c r="J37" s="100"/>
      <c r="K37" s="100"/>
      <c r="L37" s="100"/>
      <c r="M37" s="100"/>
      <c r="N37" s="100"/>
      <c r="O37" s="100"/>
      <c r="P37" s="100"/>
      <c r="Q37" s="100"/>
      <c r="R37" s="100"/>
      <c r="S37" s="100"/>
      <c r="T37" s="100"/>
      <c r="U37" s="101"/>
    </row>
    <row r="38" spans="2:21" ht="143.85" customHeight="1" x14ac:dyDescent="0.2">
      <c r="B38" s="89" t="s">
        <v>467</v>
      </c>
      <c r="C38" s="90"/>
      <c r="D38" s="90"/>
      <c r="E38" s="90"/>
      <c r="F38" s="90"/>
      <c r="G38" s="90"/>
      <c r="H38" s="90"/>
      <c r="I38" s="90"/>
      <c r="J38" s="90"/>
      <c r="K38" s="90"/>
      <c r="L38" s="90"/>
      <c r="M38" s="90"/>
      <c r="N38" s="90"/>
      <c r="O38" s="90"/>
      <c r="P38" s="90"/>
      <c r="Q38" s="90"/>
      <c r="R38" s="90"/>
      <c r="S38" s="90"/>
      <c r="T38" s="90"/>
      <c r="U38" s="91"/>
    </row>
    <row r="39" spans="2:21" ht="222" customHeight="1" x14ac:dyDescent="0.2">
      <c r="B39" s="89" t="s">
        <v>468</v>
      </c>
      <c r="C39" s="90"/>
      <c r="D39" s="90"/>
      <c r="E39" s="90"/>
      <c r="F39" s="90"/>
      <c r="G39" s="90"/>
      <c r="H39" s="90"/>
      <c r="I39" s="90"/>
      <c r="J39" s="90"/>
      <c r="K39" s="90"/>
      <c r="L39" s="90"/>
      <c r="M39" s="90"/>
      <c r="N39" s="90"/>
      <c r="O39" s="90"/>
      <c r="P39" s="90"/>
      <c r="Q39" s="90"/>
      <c r="R39" s="90"/>
      <c r="S39" s="90"/>
      <c r="T39" s="90"/>
      <c r="U39" s="91"/>
    </row>
    <row r="40" spans="2:21" ht="120.2" customHeight="1" x14ac:dyDescent="0.2">
      <c r="B40" s="89" t="s">
        <v>469</v>
      </c>
      <c r="C40" s="90"/>
      <c r="D40" s="90"/>
      <c r="E40" s="90"/>
      <c r="F40" s="90"/>
      <c r="G40" s="90"/>
      <c r="H40" s="90"/>
      <c r="I40" s="90"/>
      <c r="J40" s="90"/>
      <c r="K40" s="90"/>
      <c r="L40" s="90"/>
      <c r="M40" s="90"/>
      <c r="N40" s="90"/>
      <c r="O40" s="90"/>
      <c r="P40" s="90"/>
      <c r="Q40" s="90"/>
      <c r="R40" s="90"/>
      <c r="S40" s="90"/>
      <c r="T40" s="90"/>
      <c r="U40" s="91"/>
    </row>
    <row r="41" spans="2:21" ht="94.5" customHeight="1" x14ac:dyDescent="0.2">
      <c r="B41" s="89" t="s">
        <v>470</v>
      </c>
      <c r="C41" s="90"/>
      <c r="D41" s="90"/>
      <c r="E41" s="90"/>
      <c r="F41" s="90"/>
      <c r="G41" s="90"/>
      <c r="H41" s="90"/>
      <c r="I41" s="90"/>
      <c r="J41" s="90"/>
      <c r="K41" s="90"/>
      <c r="L41" s="90"/>
      <c r="M41" s="90"/>
      <c r="N41" s="90"/>
      <c r="O41" s="90"/>
      <c r="P41" s="90"/>
      <c r="Q41" s="90"/>
      <c r="R41" s="90"/>
      <c r="S41" s="90"/>
      <c r="T41" s="90"/>
      <c r="U41" s="91"/>
    </row>
    <row r="42" spans="2:21" ht="153.75" customHeight="1" x14ac:dyDescent="0.2">
      <c r="B42" s="89" t="s">
        <v>471</v>
      </c>
      <c r="C42" s="90"/>
      <c r="D42" s="90"/>
      <c r="E42" s="90"/>
      <c r="F42" s="90"/>
      <c r="G42" s="90"/>
      <c r="H42" s="90"/>
      <c r="I42" s="90"/>
      <c r="J42" s="90"/>
      <c r="K42" s="90"/>
      <c r="L42" s="90"/>
      <c r="M42" s="90"/>
      <c r="N42" s="90"/>
      <c r="O42" s="90"/>
      <c r="P42" s="90"/>
      <c r="Q42" s="90"/>
      <c r="R42" s="90"/>
      <c r="S42" s="90"/>
      <c r="T42" s="90"/>
      <c r="U42" s="91"/>
    </row>
    <row r="43" spans="2:21" ht="139.5" customHeight="1" x14ac:dyDescent="0.2">
      <c r="B43" s="89" t="s">
        <v>472</v>
      </c>
      <c r="C43" s="90"/>
      <c r="D43" s="90"/>
      <c r="E43" s="90"/>
      <c r="F43" s="90"/>
      <c r="G43" s="90"/>
      <c r="H43" s="90"/>
      <c r="I43" s="90"/>
      <c r="J43" s="90"/>
      <c r="K43" s="90"/>
      <c r="L43" s="90"/>
      <c r="M43" s="90"/>
      <c r="N43" s="90"/>
      <c r="O43" s="90"/>
      <c r="P43" s="90"/>
      <c r="Q43" s="90"/>
      <c r="R43" s="90"/>
      <c r="S43" s="90"/>
      <c r="T43" s="90"/>
      <c r="U43" s="91"/>
    </row>
    <row r="44" spans="2:21" ht="159.6" customHeight="1" x14ac:dyDescent="0.2">
      <c r="B44" s="89" t="s">
        <v>473</v>
      </c>
      <c r="C44" s="90"/>
      <c r="D44" s="90"/>
      <c r="E44" s="90"/>
      <c r="F44" s="90"/>
      <c r="G44" s="90"/>
      <c r="H44" s="90"/>
      <c r="I44" s="90"/>
      <c r="J44" s="90"/>
      <c r="K44" s="90"/>
      <c r="L44" s="90"/>
      <c r="M44" s="90"/>
      <c r="N44" s="90"/>
      <c r="O44" s="90"/>
      <c r="P44" s="90"/>
      <c r="Q44" s="90"/>
      <c r="R44" s="90"/>
      <c r="S44" s="90"/>
      <c r="T44" s="90"/>
      <c r="U44" s="91"/>
    </row>
    <row r="45" spans="2:21" ht="134.44999999999999" customHeight="1" x14ac:dyDescent="0.2">
      <c r="B45" s="89" t="s">
        <v>474</v>
      </c>
      <c r="C45" s="90"/>
      <c r="D45" s="90"/>
      <c r="E45" s="90"/>
      <c r="F45" s="90"/>
      <c r="G45" s="90"/>
      <c r="H45" s="90"/>
      <c r="I45" s="90"/>
      <c r="J45" s="90"/>
      <c r="K45" s="90"/>
      <c r="L45" s="90"/>
      <c r="M45" s="90"/>
      <c r="N45" s="90"/>
      <c r="O45" s="90"/>
      <c r="P45" s="90"/>
      <c r="Q45" s="90"/>
      <c r="R45" s="90"/>
      <c r="S45" s="90"/>
      <c r="T45" s="90"/>
      <c r="U45" s="91"/>
    </row>
    <row r="46" spans="2:21" ht="90.95" customHeight="1" x14ac:dyDescent="0.2">
      <c r="B46" s="89" t="s">
        <v>475</v>
      </c>
      <c r="C46" s="90"/>
      <c r="D46" s="90"/>
      <c r="E46" s="90"/>
      <c r="F46" s="90"/>
      <c r="G46" s="90"/>
      <c r="H46" s="90"/>
      <c r="I46" s="90"/>
      <c r="J46" s="90"/>
      <c r="K46" s="90"/>
      <c r="L46" s="90"/>
      <c r="M46" s="90"/>
      <c r="N46" s="90"/>
      <c r="O46" s="90"/>
      <c r="P46" s="90"/>
      <c r="Q46" s="90"/>
      <c r="R46" s="90"/>
      <c r="S46" s="90"/>
      <c r="T46" s="90"/>
      <c r="U46" s="91"/>
    </row>
    <row r="47" spans="2:21" ht="86.45" customHeight="1" x14ac:dyDescent="0.2">
      <c r="B47" s="89" t="s">
        <v>476</v>
      </c>
      <c r="C47" s="90"/>
      <c r="D47" s="90"/>
      <c r="E47" s="90"/>
      <c r="F47" s="90"/>
      <c r="G47" s="90"/>
      <c r="H47" s="90"/>
      <c r="I47" s="90"/>
      <c r="J47" s="90"/>
      <c r="K47" s="90"/>
      <c r="L47" s="90"/>
      <c r="M47" s="90"/>
      <c r="N47" s="90"/>
      <c r="O47" s="90"/>
      <c r="P47" s="90"/>
      <c r="Q47" s="90"/>
      <c r="R47" s="90"/>
      <c r="S47" s="90"/>
      <c r="T47" s="90"/>
      <c r="U47" s="91"/>
    </row>
    <row r="48" spans="2:21" ht="122.45" customHeight="1" x14ac:dyDescent="0.2">
      <c r="B48" s="89" t="s">
        <v>477</v>
      </c>
      <c r="C48" s="90"/>
      <c r="D48" s="90"/>
      <c r="E48" s="90"/>
      <c r="F48" s="90"/>
      <c r="G48" s="90"/>
      <c r="H48" s="90"/>
      <c r="I48" s="90"/>
      <c r="J48" s="90"/>
      <c r="K48" s="90"/>
      <c r="L48" s="90"/>
      <c r="M48" s="90"/>
      <c r="N48" s="90"/>
      <c r="O48" s="90"/>
      <c r="P48" s="90"/>
      <c r="Q48" s="90"/>
      <c r="R48" s="90"/>
      <c r="S48" s="90"/>
      <c r="T48" s="90"/>
      <c r="U48" s="91"/>
    </row>
    <row r="49" spans="2:21" ht="94.5" customHeight="1" x14ac:dyDescent="0.2">
      <c r="B49" s="89" t="s">
        <v>478</v>
      </c>
      <c r="C49" s="90"/>
      <c r="D49" s="90"/>
      <c r="E49" s="90"/>
      <c r="F49" s="90"/>
      <c r="G49" s="90"/>
      <c r="H49" s="90"/>
      <c r="I49" s="90"/>
      <c r="J49" s="90"/>
      <c r="K49" s="90"/>
      <c r="L49" s="90"/>
      <c r="M49" s="90"/>
      <c r="N49" s="90"/>
      <c r="O49" s="90"/>
      <c r="P49" s="90"/>
      <c r="Q49" s="90"/>
      <c r="R49" s="90"/>
      <c r="S49" s="90"/>
      <c r="T49" s="90"/>
      <c r="U49" s="91"/>
    </row>
    <row r="50" spans="2:21" ht="201.75" customHeight="1" x14ac:dyDescent="0.2">
      <c r="B50" s="89" t="s">
        <v>479</v>
      </c>
      <c r="C50" s="90"/>
      <c r="D50" s="90"/>
      <c r="E50" s="90"/>
      <c r="F50" s="90"/>
      <c r="G50" s="90"/>
      <c r="H50" s="90"/>
      <c r="I50" s="90"/>
      <c r="J50" s="90"/>
      <c r="K50" s="90"/>
      <c r="L50" s="90"/>
      <c r="M50" s="90"/>
      <c r="N50" s="90"/>
      <c r="O50" s="90"/>
      <c r="P50" s="90"/>
      <c r="Q50" s="90"/>
      <c r="R50" s="90"/>
      <c r="S50" s="90"/>
      <c r="T50" s="90"/>
      <c r="U50" s="91"/>
    </row>
    <row r="51" spans="2:21" ht="262.5" customHeight="1" x14ac:dyDescent="0.2">
      <c r="B51" s="89" t="s">
        <v>480</v>
      </c>
      <c r="C51" s="90"/>
      <c r="D51" s="90"/>
      <c r="E51" s="90"/>
      <c r="F51" s="90"/>
      <c r="G51" s="90"/>
      <c r="H51" s="90"/>
      <c r="I51" s="90"/>
      <c r="J51" s="90"/>
      <c r="K51" s="90"/>
      <c r="L51" s="90"/>
      <c r="M51" s="90"/>
      <c r="N51" s="90"/>
      <c r="O51" s="90"/>
      <c r="P51" s="90"/>
      <c r="Q51" s="90"/>
      <c r="R51" s="90"/>
      <c r="S51" s="90"/>
      <c r="T51" s="90"/>
      <c r="U51" s="91"/>
    </row>
    <row r="52" spans="2:21" ht="95.25" customHeight="1" x14ac:dyDescent="0.2">
      <c r="B52" s="89" t="s">
        <v>481</v>
      </c>
      <c r="C52" s="90"/>
      <c r="D52" s="90"/>
      <c r="E52" s="90"/>
      <c r="F52" s="90"/>
      <c r="G52" s="90"/>
      <c r="H52" s="90"/>
      <c r="I52" s="90"/>
      <c r="J52" s="90"/>
      <c r="K52" s="90"/>
      <c r="L52" s="90"/>
      <c r="M52" s="90"/>
      <c r="N52" s="90"/>
      <c r="O52" s="90"/>
      <c r="P52" s="90"/>
      <c r="Q52" s="90"/>
      <c r="R52" s="90"/>
      <c r="S52" s="90"/>
      <c r="T52" s="90"/>
      <c r="U52" s="91"/>
    </row>
    <row r="53" spans="2:21" ht="96" customHeight="1" x14ac:dyDescent="0.2">
      <c r="B53" s="89" t="s">
        <v>482</v>
      </c>
      <c r="C53" s="90"/>
      <c r="D53" s="90"/>
      <c r="E53" s="90"/>
      <c r="F53" s="90"/>
      <c r="G53" s="90"/>
      <c r="H53" s="90"/>
      <c r="I53" s="90"/>
      <c r="J53" s="90"/>
      <c r="K53" s="90"/>
      <c r="L53" s="90"/>
      <c r="M53" s="90"/>
      <c r="N53" s="90"/>
      <c r="O53" s="90"/>
      <c r="P53" s="90"/>
      <c r="Q53" s="90"/>
      <c r="R53" s="90"/>
      <c r="S53" s="90"/>
      <c r="T53" s="90"/>
      <c r="U53" s="91"/>
    </row>
    <row r="54" spans="2:21" ht="90.75" customHeight="1" x14ac:dyDescent="0.2">
      <c r="B54" s="89" t="s">
        <v>483</v>
      </c>
      <c r="C54" s="90"/>
      <c r="D54" s="90"/>
      <c r="E54" s="90"/>
      <c r="F54" s="90"/>
      <c r="G54" s="90"/>
      <c r="H54" s="90"/>
      <c r="I54" s="90"/>
      <c r="J54" s="90"/>
      <c r="K54" s="90"/>
      <c r="L54" s="90"/>
      <c r="M54" s="90"/>
      <c r="N54" s="90"/>
      <c r="O54" s="90"/>
      <c r="P54" s="90"/>
      <c r="Q54" s="90"/>
      <c r="R54" s="90"/>
      <c r="S54" s="90"/>
      <c r="T54" s="90"/>
      <c r="U54" s="91"/>
    </row>
    <row r="55" spans="2:21" ht="96.75" customHeight="1" x14ac:dyDescent="0.2">
      <c r="B55" s="89" t="s">
        <v>484</v>
      </c>
      <c r="C55" s="90"/>
      <c r="D55" s="90"/>
      <c r="E55" s="90"/>
      <c r="F55" s="90"/>
      <c r="G55" s="90"/>
      <c r="H55" s="90"/>
      <c r="I55" s="90"/>
      <c r="J55" s="90"/>
      <c r="K55" s="90"/>
      <c r="L55" s="90"/>
      <c r="M55" s="90"/>
      <c r="N55" s="90"/>
      <c r="O55" s="90"/>
      <c r="P55" s="90"/>
      <c r="Q55" s="90"/>
      <c r="R55" s="90"/>
      <c r="S55" s="90"/>
      <c r="T55" s="90"/>
      <c r="U55" s="91"/>
    </row>
    <row r="56" spans="2:21" ht="102" customHeight="1" thickBot="1" x14ac:dyDescent="0.25">
      <c r="B56" s="92" t="s">
        <v>485</v>
      </c>
      <c r="C56" s="93"/>
      <c r="D56" s="93"/>
      <c r="E56" s="93"/>
      <c r="F56" s="93"/>
      <c r="G56" s="93"/>
      <c r="H56" s="93"/>
      <c r="I56" s="93"/>
      <c r="J56" s="93"/>
      <c r="K56" s="93"/>
      <c r="L56" s="93"/>
      <c r="M56" s="93"/>
      <c r="N56" s="93"/>
      <c r="O56" s="93"/>
      <c r="P56" s="93"/>
      <c r="Q56" s="93"/>
      <c r="R56" s="93"/>
      <c r="S56" s="93"/>
      <c r="T56" s="93"/>
      <c r="U56" s="94"/>
    </row>
  </sheetData>
  <mergeCells count="103">
    <mergeCell ref="B55:U55"/>
    <mergeCell ref="B56:U56"/>
    <mergeCell ref="B49:U49"/>
    <mergeCell ref="B50:U50"/>
    <mergeCell ref="B51:U51"/>
    <mergeCell ref="B52:U52"/>
    <mergeCell ref="B53:U53"/>
    <mergeCell ref="B54:U54"/>
    <mergeCell ref="B43:U43"/>
    <mergeCell ref="B44:U44"/>
    <mergeCell ref="B45:U45"/>
    <mergeCell ref="B46:U46"/>
    <mergeCell ref="B47:U47"/>
    <mergeCell ref="B48:U48"/>
    <mergeCell ref="B38:U38"/>
    <mergeCell ref="B39:U39"/>
    <mergeCell ref="B40:U40"/>
    <mergeCell ref="B41:U41"/>
    <mergeCell ref="B42:U42"/>
    <mergeCell ref="C30:H30"/>
    <mergeCell ref="I30:K30"/>
    <mergeCell ref="L30:O30"/>
    <mergeCell ref="B34:D34"/>
    <mergeCell ref="B35:D35"/>
    <mergeCell ref="B37:U37"/>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7:H17"/>
    <mergeCell ref="I17:K17"/>
    <mergeCell ref="L17:O17"/>
    <mergeCell ref="C14:H14"/>
    <mergeCell ref="I14:K14"/>
    <mergeCell ref="L14:O14"/>
    <mergeCell ref="C15:H15"/>
    <mergeCell ref="I15:K15"/>
    <mergeCell ref="L15:O15"/>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1"/>
  <sheetViews>
    <sheetView view="pageBreakPreview" topLeftCell="A19" zoomScale="80" zoomScaleNormal="80" zoomScaleSheetLayoutView="80" workbookViewId="0">
      <selection activeCell="T21" sqref="T21:T22"/>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486</v>
      </c>
      <c r="D4" s="57" t="s">
        <v>487</v>
      </c>
      <c r="E4" s="57"/>
      <c r="F4" s="57"/>
      <c r="G4" s="57"/>
      <c r="H4" s="57"/>
      <c r="I4" s="10"/>
      <c r="J4" s="11" t="s">
        <v>9</v>
      </c>
      <c r="K4" s="12" t="s">
        <v>10</v>
      </c>
      <c r="L4" s="58" t="s">
        <v>11</v>
      </c>
      <c r="M4" s="58"/>
      <c r="N4" s="58"/>
      <c r="O4" s="58"/>
      <c r="P4" s="11" t="s">
        <v>12</v>
      </c>
      <c r="Q4" s="58" t="s">
        <v>488</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92.25" customHeight="1" thickBot="1" x14ac:dyDescent="0.25">
      <c r="B6" s="13" t="s">
        <v>16</v>
      </c>
      <c r="C6" s="60" t="s">
        <v>17</v>
      </c>
      <c r="D6" s="60"/>
      <c r="E6" s="60"/>
      <c r="F6" s="60"/>
      <c r="G6" s="60"/>
      <c r="H6" s="14"/>
      <c r="I6" s="14"/>
      <c r="J6" s="14" t="s">
        <v>18</v>
      </c>
      <c r="K6" s="60" t="s">
        <v>78</v>
      </c>
      <c r="L6" s="60"/>
      <c r="M6" s="60"/>
      <c r="N6" s="15"/>
      <c r="O6" s="16" t="s">
        <v>20</v>
      </c>
      <c r="P6" s="60" t="s">
        <v>112</v>
      </c>
      <c r="Q6" s="60"/>
      <c r="R6" s="17"/>
      <c r="S6" s="16" t="s">
        <v>22</v>
      </c>
      <c r="T6" s="60" t="s">
        <v>489</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20" customHeight="1" thickTop="1" thickBot="1" x14ac:dyDescent="0.25">
      <c r="A11" s="21"/>
      <c r="B11" s="22" t="s">
        <v>38</v>
      </c>
      <c r="C11" s="87" t="s">
        <v>490</v>
      </c>
      <c r="D11" s="87"/>
      <c r="E11" s="87"/>
      <c r="F11" s="87"/>
      <c r="G11" s="87"/>
      <c r="H11" s="87"/>
      <c r="I11" s="87" t="s">
        <v>491</v>
      </c>
      <c r="J11" s="87"/>
      <c r="K11" s="87"/>
      <c r="L11" s="87" t="s">
        <v>492</v>
      </c>
      <c r="M11" s="87"/>
      <c r="N11" s="87"/>
      <c r="O11" s="87"/>
      <c r="P11" s="23" t="s">
        <v>42</v>
      </c>
      <c r="Q11" s="23" t="s">
        <v>43</v>
      </c>
      <c r="R11" s="23" t="s">
        <v>169</v>
      </c>
      <c r="S11" s="23">
        <v>0.02</v>
      </c>
      <c r="T11" s="23">
        <v>0.28000000000000003</v>
      </c>
      <c r="U11" s="45">
        <f>1400</f>
        <v>1400</v>
      </c>
    </row>
    <row r="12" spans="1:21" ht="89.25" customHeight="1" thickTop="1" thickBot="1" x14ac:dyDescent="0.25">
      <c r="A12" s="21"/>
      <c r="B12" s="22" t="s">
        <v>44</v>
      </c>
      <c r="C12" s="87" t="s">
        <v>493</v>
      </c>
      <c r="D12" s="87"/>
      <c r="E12" s="87"/>
      <c r="F12" s="87"/>
      <c r="G12" s="87"/>
      <c r="H12" s="87"/>
      <c r="I12" s="87" t="s">
        <v>494</v>
      </c>
      <c r="J12" s="87"/>
      <c r="K12" s="87"/>
      <c r="L12" s="87" t="s">
        <v>495</v>
      </c>
      <c r="M12" s="87"/>
      <c r="N12" s="87"/>
      <c r="O12" s="87"/>
      <c r="P12" s="23" t="s">
        <v>496</v>
      </c>
      <c r="Q12" s="23" t="s">
        <v>43</v>
      </c>
      <c r="R12" s="23">
        <v>0.57999999999999996</v>
      </c>
      <c r="S12" s="23">
        <v>0.57999999999999996</v>
      </c>
      <c r="T12" s="23">
        <v>2.73</v>
      </c>
      <c r="U12" s="45">
        <f>470.68</f>
        <v>470.68</v>
      </c>
    </row>
    <row r="13" spans="1:21" ht="75" customHeight="1" thickTop="1" x14ac:dyDescent="0.2">
      <c r="A13" s="21"/>
      <c r="B13" s="22" t="s">
        <v>52</v>
      </c>
      <c r="C13" s="87" t="s">
        <v>497</v>
      </c>
      <c r="D13" s="87"/>
      <c r="E13" s="87"/>
      <c r="F13" s="87"/>
      <c r="G13" s="87"/>
      <c r="H13" s="87"/>
      <c r="I13" s="87" t="s">
        <v>498</v>
      </c>
      <c r="J13" s="87"/>
      <c r="K13" s="87"/>
      <c r="L13" s="87" t="s">
        <v>499</v>
      </c>
      <c r="M13" s="87"/>
      <c r="N13" s="87"/>
      <c r="O13" s="87"/>
      <c r="P13" s="23" t="s">
        <v>500</v>
      </c>
      <c r="Q13" s="23" t="s">
        <v>43</v>
      </c>
      <c r="R13" s="23" t="s">
        <v>169</v>
      </c>
      <c r="S13" s="23">
        <v>1.07</v>
      </c>
      <c r="T13" s="23">
        <v>2.84</v>
      </c>
      <c r="U13" s="45">
        <f>265.42</f>
        <v>265.42</v>
      </c>
    </row>
    <row r="14" spans="1:21" ht="82.5" customHeight="1" thickBot="1" x14ac:dyDescent="0.25">
      <c r="A14" s="21"/>
      <c r="B14" s="24" t="s">
        <v>49</v>
      </c>
      <c r="C14" s="88" t="s">
        <v>501</v>
      </c>
      <c r="D14" s="88"/>
      <c r="E14" s="88"/>
      <c r="F14" s="88"/>
      <c r="G14" s="88"/>
      <c r="H14" s="88"/>
      <c r="I14" s="88" t="s">
        <v>502</v>
      </c>
      <c r="J14" s="88"/>
      <c r="K14" s="88"/>
      <c r="L14" s="88" t="s">
        <v>503</v>
      </c>
      <c r="M14" s="88"/>
      <c r="N14" s="88"/>
      <c r="O14" s="88"/>
      <c r="P14" s="25" t="s">
        <v>42</v>
      </c>
      <c r="Q14" s="25" t="s">
        <v>43</v>
      </c>
      <c r="R14" s="25" t="s">
        <v>169</v>
      </c>
      <c r="S14" s="25">
        <v>100</v>
      </c>
      <c r="T14" s="25">
        <v>94.7</v>
      </c>
      <c r="U14" s="46">
        <f>94.7</f>
        <v>94.7</v>
      </c>
    </row>
    <row r="15" spans="1:21" ht="101.25" customHeight="1" thickTop="1" x14ac:dyDescent="0.2">
      <c r="A15" s="21"/>
      <c r="B15" s="22" t="s">
        <v>57</v>
      </c>
      <c r="C15" s="87" t="s">
        <v>504</v>
      </c>
      <c r="D15" s="87"/>
      <c r="E15" s="87"/>
      <c r="F15" s="87"/>
      <c r="G15" s="87"/>
      <c r="H15" s="87"/>
      <c r="I15" s="87" t="s">
        <v>505</v>
      </c>
      <c r="J15" s="87"/>
      <c r="K15" s="87"/>
      <c r="L15" s="87" t="s">
        <v>506</v>
      </c>
      <c r="M15" s="87"/>
      <c r="N15" s="87"/>
      <c r="O15" s="87"/>
      <c r="P15" s="23" t="s">
        <v>507</v>
      </c>
      <c r="Q15" s="23" t="s">
        <v>248</v>
      </c>
      <c r="R15" s="43" t="s">
        <v>169</v>
      </c>
      <c r="S15" s="43">
        <v>7</v>
      </c>
      <c r="T15" s="43">
        <v>20</v>
      </c>
      <c r="U15" s="45">
        <f>285.7</f>
        <v>285.7</v>
      </c>
    </row>
    <row r="16" spans="1:21" ht="87" customHeight="1" x14ac:dyDescent="0.2">
      <c r="A16" s="21"/>
      <c r="B16" s="24" t="s">
        <v>49</v>
      </c>
      <c r="C16" s="88" t="s">
        <v>508</v>
      </c>
      <c r="D16" s="88"/>
      <c r="E16" s="88"/>
      <c r="F16" s="88"/>
      <c r="G16" s="88"/>
      <c r="H16" s="88"/>
      <c r="I16" s="88" t="s">
        <v>509</v>
      </c>
      <c r="J16" s="88"/>
      <c r="K16" s="88"/>
      <c r="L16" s="88" t="s">
        <v>510</v>
      </c>
      <c r="M16" s="88"/>
      <c r="N16" s="88"/>
      <c r="O16" s="88"/>
      <c r="P16" s="25" t="s">
        <v>511</v>
      </c>
      <c r="Q16" s="25" t="s">
        <v>248</v>
      </c>
      <c r="R16" s="44" t="s">
        <v>169</v>
      </c>
      <c r="S16" s="44">
        <v>15</v>
      </c>
      <c r="T16" s="44">
        <v>27</v>
      </c>
      <c r="U16" s="46">
        <f>180</f>
        <v>180</v>
      </c>
    </row>
    <row r="17" spans="1:22" ht="102" customHeight="1" thickBot="1" x14ac:dyDescent="0.25">
      <c r="A17" s="21"/>
      <c r="B17" s="24" t="s">
        <v>49</v>
      </c>
      <c r="C17" s="88" t="s">
        <v>512</v>
      </c>
      <c r="D17" s="88"/>
      <c r="E17" s="88"/>
      <c r="F17" s="88"/>
      <c r="G17" s="88"/>
      <c r="H17" s="88"/>
      <c r="I17" s="88" t="s">
        <v>513</v>
      </c>
      <c r="J17" s="88"/>
      <c r="K17" s="88"/>
      <c r="L17" s="88" t="s">
        <v>514</v>
      </c>
      <c r="M17" s="88"/>
      <c r="N17" s="88"/>
      <c r="O17" s="88"/>
      <c r="P17" s="25" t="s">
        <v>515</v>
      </c>
      <c r="Q17" s="25" t="s">
        <v>248</v>
      </c>
      <c r="R17" s="25" t="s">
        <v>169</v>
      </c>
      <c r="S17" s="25">
        <v>100</v>
      </c>
      <c r="T17" s="25">
        <v>90.6</v>
      </c>
      <c r="U17" s="46">
        <f>90.6</f>
        <v>90.6</v>
      </c>
    </row>
    <row r="18" spans="1:22" ht="14.25" customHeight="1" thickTop="1" thickBot="1" x14ac:dyDescent="0.25">
      <c r="B18" s="4" t="s">
        <v>62</v>
      </c>
      <c r="C18" s="5"/>
      <c r="D18" s="5"/>
      <c r="E18" s="5"/>
      <c r="F18" s="5"/>
      <c r="G18" s="5"/>
      <c r="H18" s="6"/>
      <c r="I18" s="6"/>
      <c r="J18" s="6"/>
      <c r="K18" s="6"/>
      <c r="L18" s="6"/>
      <c r="M18" s="6"/>
      <c r="N18" s="6"/>
      <c r="O18" s="6"/>
      <c r="P18" s="6"/>
      <c r="Q18" s="6"/>
      <c r="R18" s="6"/>
      <c r="S18" s="6"/>
      <c r="T18" s="6"/>
      <c r="U18" s="7"/>
      <c r="V18" s="26"/>
    </row>
    <row r="19" spans="1:22" ht="26.25" customHeight="1" thickTop="1" x14ac:dyDescent="0.2">
      <c r="B19" s="27"/>
      <c r="C19" s="28"/>
      <c r="D19" s="28"/>
      <c r="E19" s="28"/>
      <c r="F19" s="28"/>
      <c r="G19" s="28"/>
      <c r="H19" s="29"/>
      <c r="I19" s="29"/>
      <c r="J19" s="29"/>
      <c r="K19" s="29"/>
      <c r="L19" s="29"/>
      <c r="M19" s="29"/>
      <c r="N19" s="29"/>
      <c r="O19" s="29"/>
      <c r="P19" s="29"/>
      <c r="Q19" s="29"/>
      <c r="R19" s="30"/>
      <c r="S19" s="31" t="s">
        <v>33</v>
      </c>
      <c r="T19" s="31" t="s">
        <v>63</v>
      </c>
      <c r="U19" s="18" t="s">
        <v>64</v>
      </c>
    </row>
    <row r="20" spans="1:22" ht="26.25" customHeight="1" thickBot="1" x14ac:dyDescent="0.25">
      <c r="B20" s="32"/>
      <c r="C20" s="33"/>
      <c r="D20" s="33"/>
      <c r="E20" s="33"/>
      <c r="F20" s="33"/>
      <c r="G20" s="33"/>
      <c r="H20" s="34"/>
      <c r="I20" s="34"/>
      <c r="J20" s="34"/>
      <c r="K20" s="34"/>
      <c r="L20" s="34"/>
      <c r="M20" s="34"/>
      <c r="N20" s="34"/>
      <c r="O20" s="34"/>
      <c r="P20" s="34"/>
      <c r="Q20" s="34"/>
      <c r="R20" s="34"/>
      <c r="S20" s="35" t="s">
        <v>65</v>
      </c>
      <c r="T20" s="36" t="s">
        <v>65</v>
      </c>
      <c r="U20" s="36" t="s">
        <v>66</v>
      </c>
    </row>
    <row r="21" spans="1:22" ht="13.5" customHeight="1" thickBot="1" x14ac:dyDescent="0.25">
      <c r="B21" s="95" t="s">
        <v>67</v>
      </c>
      <c r="C21" s="96"/>
      <c r="D21" s="96"/>
      <c r="E21" s="37"/>
      <c r="F21" s="37"/>
      <c r="G21" s="37"/>
      <c r="H21" s="38"/>
      <c r="I21" s="38"/>
      <c r="J21" s="38"/>
      <c r="K21" s="38"/>
      <c r="L21" s="38"/>
      <c r="M21" s="38"/>
      <c r="N21" s="38"/>
      <c r="O21" s="38"/>
      <c r="P21" s="39"/>
      <c r="Q21" s="39"/>
      <c r="R21" s="39"/>
      <c r="S21" s="47">
        <v>550.35552099999995</v>
      </c>
      <c r="T21" s="47">
        <v>980.47795360999987</v>
      </c>
      <c r="U21" s="48">
        <f>+IF(ISERR(T21/S21*100),"N/A",ROUND(T21/S21*100,1))</f>
        <v>178.2</v>
      </c>
    </row>
    <row r="22" spans="1:22" ht="13.5" customHeight="1" thickBot="1" x14ac:dyDescent="0.25">
      <c r="B22" s="97" t="s">
        <v>68</v>
      </c>
      <c r="C22" s="98"/>
      <c r="D22" s="98"/>
      <c r="E22" s="40"/>
      <c r="F22" s="40"/>
      <c r="G22" s="40"/>
      <c r="H22" s="41"/>
      <c r="I22" s="41"/>
      <c r="J22" s="41"/>
      <c r="K22" s="41"/>
      <c r="L22" s="41"/>
      <c r="M22" s="41"/>
      <c r="N22" s="41"/>
      <c r="O22" s="41"/>
      <c r="P22" s="42"/>
      <c r="Q22" s="42"/>
      <c r="R22" s="42"/>
      <c r="S22" s="47">
        <v>980.47795360999987</v>
      </c>
      <c r="T22" s="47">
        <v>980.47795360999987</v>
      </c>
      <c r="U22" s="48">
        <f>+IF(ISERR(T22/S22*100),"N/A",ROUND(T22/S22*100,1))</f>
        <v>100</v>
      </c>
    </row>
    <row r="23" spans="1:22" ht="14.85" customHeight="1" thickTop="1" thickBot="1" x14ac:dyDescent="0.25">
      <c r="B23" s="4" t="s">
        <v>69</v>
      </c>
      <c r="C23" s="5"/>
      <c r="D23" s="5"/>
      <c r="E23" s="5"/>
      <c r="F23" s="5"/>
      <c r="G23" s="5"/>
      <c r="H23" s="6"/>
      <c r="I23" s="6"/>
      <c r="J23" s="6"/>
      <c r="K23" s="6"/>
      <c r="L23" s="6"/>
      <c r="M23" s="6"/>
      <c r="N23" s="6"/>
      <c r="O23" s="6"/>
      <c r="P23" s="6"/>
      <c r="Q23" s="6"/>
      <c r="R23" s="6"/>
      <c r="S23" s="6"/>
      <c r="T23" s="6"/>
      <c r="U23" s="7"/>
    </row>
    <row r="24" spans="1:22" ht="44.25" customHeight="1" thickTop="1" x14ac:dyDescent="0.2">
      <c r="B24" s="99" t="s">
        <v>70</v>
      </c>
      <c r="C24" s="100"/>
      <c r="D24" s="100"/>
      <c r="E24" s="100"/>
      <c r="F24" s="100"/>
      <c r="G24" s="100"/>
      <c r="H24" s="100"/>
      <c r="I24" s="100"/>
      <c r="J24" s="100"/>
      <c r="K24" s="100"/>
      <c r="L24" s="100"/>
      <c r="M24" s="100"/>
      <c r="N24" s="100"/>
      <c r="O24" s="100"/>
      <c r="P24" s="100"/>
      <c r="Q24" s="100"/>
      <c r="R24" s="100"/>
      <c r="S24" s="100"/>
      <c r="T24" s="100"/>
      <c r="U24" s="101"/>
    </row>
    <row r="25" spans="1:22" ht="118.7" customHeight="1" x14ac:dyDescent="0.2">
      <c r="B25" s="89" t="s">
        <v>516</v>
      </c>
      <c r="C25" s="90"/>
      <c r="D25" s="90"/>
      <c r="E25" s="90"/>
      <c r="F25" s="90"/>
      <c r="G25" s="90"/>
      <c r="H25" s="90"/>
      <c r="I25" s="90"/>
      <c r="J25" s="90"/>
      <c r="K25" s="90"/>
      <c r="L25" s="90"/>
      <c r="M25" s="90"/>
      <c r="N25" s="90"/>
      <c r="O25" s="90"/>
      <c r="P25" s="90"/>
      <c r="Q25" s="90"/>
      <c r="R25" s="90"/>
      <c r="S25" s="90"/>
      <c r="T25" s="90"/>
      <c r="U25" s="91"/>
    </row>
    <row r="26" spans="1:22" ht="122.1" customHeight="1" x14ac:dyDescent="0.2">
      <c r="B26" s="89" t="s">
        <v>517</v>
      </c>
      <c r="C26" s="90"/>
      <c r="D26" s="90"/>
      <c r="E26" s="90"/>
      <c r="F26" s="90"/>
      <c r="G26" s="90"/>
      <c r="H26" s="90"/>
      <c r="I26" s="90"/>
      <c r="J26" s="90"/>
      <c r="K26" s="90"/>
      <c r="L26" s="90"/>
      <c r="M26" s="90"/>
      <c r="N26" s="90"/>
      <c r="O26" s="90"/>
      <c r="P26" s="90"/>
      <c r="Q26" s="90"/>
      <c r="R26" s="90"/>
      <c r="S26" s="90"/>
      <c r="T26" s="90"/>
      <c r="U26" s="91"/>
    </row>
    <row r="27" spans="1:22" ht="131.85" customHeight="1" x14ac:dyDescent="0.2">
      <c r="B27" s="89" t="s">
        <v>518</v>
      </c>
      <c r="C27" s="90"/>
      <c r="D27" s="90"/>
      <c r="E27" s="90"/>
      <c r="F27" s="90"/>
      <c r="G27" s="90"/>
      <c r="H27" s="90"/>
      <c r="I27" s="90"/>
      <c r="J27" s="90"/>
      <c r="K27" s="90"/>
      <c r="L27" s="90"/>
      <c r="M27" s="90"/>
      <c r="N27" s="90"/>
      <c r="O27" s="90"/>
      <c r="P27" s="90"/>
      <c r="Q27" s="90"/>
      <c r="R27" s="90"/>
      <c r="S27" s="90"/>
      <c r="T27" s="90"/>
      <c r="U27" s="91"/>
    </row>
    <row r="28" spans="1:22" ht="102" customHeight="1" x14ac:dyDescent="0.2">
      <c r="B28" s="89" t="s">
        <v>519</v>
      </c>
      <c r="C28" s="90"/>
      <c r="D28" s="90"/>
      <c r="E28" s="90"/>
      <c r="F28" s="90"/>
      <c r="G28" s="90"/>
      <c r="H28" s="90"/>
      <c r="I28" s="90"/>
      <c r="J28" s="90"/>
      <c r="K28" s="90"/>
      <c r="L28" s="90"/>
      <c r="M28" s="90"/>
      <c r="N28" s="90"/>
      <c r="O28" s="90"/>
      <c r="P28" s="90"/>
      <c r="Q28" s="90"/>
      <c r="R28" s="90"/>
      <c r="S28" s="90"/>
      <c r="T28" s="90"/>
      <c r="U28" s="91"/>
    </row>
    <row r="29" spans="1:22" ht="89.45" customHeight="1" x14ac:dyDescent="0.2">
      <c r="B29" s="89" t="s">
        <v>520</v>
      </c>
      <c r="C29" s="90"/>
      <c r="D29" s="90"/>
      <c r="E29" s="90"/>
      <c r="F29" s="90"/>
      <c r="G29" s="90"/>
      <c r="H29" s="90"/>
      <c r="I29" s="90"/>
      <c r="J29" s="90"/>
      <c r="K29" s="90"/>
      <c r="L29" s="90"/>
      <c r="M29" s="90"/>
      <c r="N29" s="90"/>
      <c r="O29" s="90"/>
      <c r="P29" s="90"/>
      <c r="Q29" s="90"/>
      <c r="R29" s="90"/>
      <c r="S29" s="90"/>
      <c r="T29" s="90"/>
      <c r="U29" s="91"/>
    </row>
    <row r="30" spans="1:22" ht="109.5" customHeight="1" x14ac:dyDescent="0.2">
      <c r="B30" s="89" t="s">
        <v>521</v>
      </c>
      <c r="C30" s="90"/>
      <c r="D30" s="90"/>
      <c r="E30" s="90"/>
      <c r="F30" s="90"/>
      <c r="G30" s="90"/>
      <c r="H30" s="90"/>
      <c r="I30" s="90"/>
      <c r="J30" s="90"/>
      <c r="K30" s="90"/>
      <c r="L30" s="90"/>
      <c r="M30" s="90"/>
      <c r="N30" s="90"/>
      <c r="O30" s="90"/>
      <c r="P30" s="90"/>
      <c r="Q30" s="90"/>
      <c r="R30" s="90"/>
      <c r="S30" s="90"/>
      <c r="T30" s="90"/>
      <c r="U30" s="91"/>
    </row>
    <row r="31" spans="1:22" ht="116.45" customHeight="1" thickBot="1" x14ac:dyDescent="0.25">
      <c r="B31" s="92" t="s">
        <v>522</v>
      </c>
      <c r="C31" s="93"/>
      <c r="D31" s="93"/>
      <c r="E31" s="93"/>
      <c r="F31" s="93"/>
      <c r="G31" s="93"/>
      <c r="H31" s="93"/>
      <c r="I31" s="93"/>
      <c r="J31" s="93"/>
      <c r="K31" s="93"/>
      <c r="L31" s="93"/>
      <c r="M31" s="93"/>
      <c r="N31" s="93"/>
      <c r="O31" s="93"/>
      <c r="P31" s="93"/>
      <c r="Q31" s="93"/>
      <c r="R31" s="93"/>
      <c r="S31" s="93"/>
      <c r="T31" s="93"/>
      <c r="U31" s="94"/>
    </row>
  </sheetData>
  <mergeCells count="52">
    <mergeCell ref="B28:U28"/>
    <mergeCell ref="B29:U29"/>
    <mergeCell ref="B30:U30"/>
    <mergeCell ref="B31:U31"/>
    <mergeCell ref="B21:D21"/>
    <mergeCell ref="B22:D22"/>
    <mergeCell ref="B24:U24"/>
    <mergeCell ref="B25:U25"/>
    <mergeCell ref="B26:U26"/>
    <mergeCell ref="B27:U27"/>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7"/>
  <sheetViews>
    <sheetView view="pageBreakPreview" topLeftCell="A16" zoomScale="80" zoomScaleNormal="80" zoomScaleSheetLayoutView="80" workbookViewId="0">
      <selection activeCell="T19" sqref="T19:T20"/>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93" customHeight="1" thickTop="1" x14ac:dyDescent="0.2">
      <c r="B4" s="8" t="s">
        <v>6</v>
      </c>
      <c r="C4" s="9" t="s">
        <v>523</v>
      </c>
      <c r="D4" s="57" t="s">
        <v>524</v>
      </c>
      <c r="E4" s="57"/>
      <c r="F4" s="57"/>
      <c r="G4" s="57"/>
      <c r="H4" s="57"/>
      <c r="I4" s="10"/>
      <c r="J4" s="11" t="s">
        <v>9</v>
      </c>
      <c r="K4" s="12" t="s">
        <v>10</v>
      </c>
      <c r="L4" s="58" t="s">
        <v>11</v>
      </c>
      <c r="M4" s="58"/>
      <c r="N4" s="58"/>
      <c r="O4" s="58"/>
      <c r="P4" s="11" t="s">
        <v>12</v>
      </c>
      <c r="Q4" s="58" t="s">
        <v>525</v>
      </c>
      <c r="R4" s="58"/>
      <c r="S4" s="11" t="s">
        <v>14</v>
      </c>
      <c r="T4" s="58" t="s">
        <v>140</v>
      </c>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54.75" customHeight="1" thickBot="1" x14ac:dyDescent="0.25">
      <c r="B6" s="13" t="s">
        <v>16</v>
      </c>
      <c r="C6" s="60" t="s">
        <v>17</v>
      </c>
      <c r="D6" s="60"/>
      <c r="E6" s="60"/>
      <c r="F6" s="60"/>
      <c r="G6" s="60"/>
      <c r="H6" s="14"/>
      <c r="I6" s="14"/>
      <c r="J6" s="14" t="s">
        <v>18</v>
      </c>
      <c r="K6" s="60" t="s">
        <v>78</v>
      </c>
      <c r="L6" s="60"/>
      <c r="M6" s="60"/>
      <c r="N6" s="15"/>
      <c r="O6" s="16" t="s">
        <v>20</v>
      </c>
      <c r="P6" s="60" t="s">
        <v>141</v>
      </c>
      <c r="Q6" s="60"/>
      <c r="R6" s="17"/>
      <c r="S6" s="16" t="s">
        <v>22</v>
      </c>
      <c r="T6" s="60" t="s">
        <v>142</v>
      </c>
      <c r="U6" s="61"/>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2"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2"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2" ht="168.75" customHeight="1" thickTop="1" thickBot="1" x14ac:dyDescent="0.25">
      <c r="A11" s="21"/>
      <c r="B11" s="22" t="s">
        <v>38</v>
      </c>
      <c r="C11" s="87" t="s">
        <v>526</v>
      </c>
      <c r="D11" s="87"/>
      <c r="E11" s="87"/>
      <c r="F11" s="87"/>
      <c r="G11" s="87"/>
      <c r="H11" s="87"/>
      <c r="I11" s="87" t="s">
        <v>527</v>
      </c>
      <c r="J11" s="87"/>
      <c r="K11" s="87"/>
      <c r="L11" s="87" t="s">
        <v>528</v>
      </c>
      <c r="M11" s="87"/>
      <c r="N11" s="87"/>
      <c r="O11" s="87"/>
      <c r="P11" s="23" t="s">
        <v>42</v>
      </c>
      <c r="Q11" s="23" t="s">
        <v>43</v>
      </c>
      <c r="R11" s="23">
        <v>100</v>
      </c>
      <c r="S11" s="23">
        <v>100</v>
      </c>
      <c r="T11" s="23">
        <v>100</v>
      </c>
      <c r="U11" s="45">
        <f>100</f>
        <v>100</v>
      </c>
    </row>
    <row r="12" spans="1:22" ht="86.25" customHeight="1" thickTop="1" thickBot="1" x14ac:dyDescent="0.25">
      <c r="A12" s="21"/>
      <c r="B12" s="22" t="s">
        <v>44</v>
      </c>
      <c r="C12" s="87" t="s">
        <v>529</v>
      </c>
      <c r="D12" s="87"/>
      <c r="E12" s="87"/>
      <c r="F12" s="87"/>
      <c r="G12" s="87"/>
      <c r="H12" s="87"/>
      <c r="I12" s="87" t="s">
        <v>530</v>
      </c>
      <c r="J12" s="87"/>
      <c r="K12" s="87"/>
      <c r="L12" s="87" t="s">
        <v>531</v>
      </c>
      <c r="M12" s="87"/>
      <c r="N12" s="87"/>
      <c r="O12" s="87"/>
      <c r="P12" s="23" t="s">
        <v>42</v>
      </c>
      <c r="Q12" s="23" t="s">
        <v>43</v>
      </c>
      <c r="R12" s="23">
        <v>100</v>
      </c>
      <c r="S12" s="23">
        <v>100</v>
      </c>
      <c r="T12" s="23">
        <v>100</v>
      </c>
      <c r="U12" s="45">
        <f>100</f>
        <v>100</v>
      </c>
    </row>
    <row r="13" spans="1:22" ht="102.75" customHeight="1" thickTop="1" thickBot="1" x14ac:dyDescent="0.25">
      <c r="A13" s="21"/>
      <c r="B13" s="22" t="s">
        <v>52</v>
      </c>
      <c r="C13" s="87" t="s">
        <v>532</v>
      </c>
      <c r="D13" s="87"/>
      <c r="E13" s="87"/>
      <c r="F13" s="87"/>
      <c r="G13" s="87"/>
      <c r="H13" s="87"/>
      <c r="I13" s="87" t="s">
        <v>533</v>
      </c>
      <c r="J13" s="87"/>
      <c r="K13" s="87"/>
      <c r="L13" s="87" t="s">
        <v>534</v>
      </c>
      <c r="M13" s="87"/>
      <c r="N13" s="87"/>
      <c r="O13" s="87"/>
      <c r="P13" s="23" t="s">
        <v>42</v>
      </c>
      <c r="Q13" s="23" t="s">
        <v>221</v>
      </c>
      <c r="R13" s="23">
        <v>100</v>
      </c>
      <c r="S13" s="23">
        <v>100</v>
      </c>
      <c r="T13" s="23">
        <v>62.5</v>
      </c>
      <c r="U13" s="45">
        <f>62.5</f>
        <v>62.5</v>
      </c>
    </row>
    <row r="14" spans="1:22" ht="74.25" customHeight="1" thickTop="1" x14ac:dyDescent="0.2">
      <c r="A14" s="21"/>
      <c r="B14" s="22" t="s">
        <v>57</v>
      </c>
      <c r="C14" s="87" t="s">
        <v>535</v>
      </c>
      <c r="D14" s="87"/>
      <c r="E14" s="87"/>
      <c r="F14" s="87"/>
      <c r="G14" s="87"/>
      <c r="H14" s="87"/>
      <c r="I14" s="87" t="s">
        <v>536</v>
      </c>
      <c r="J14" s="87"/>
      <c r="K14" s="87"/>
      <c r="L14" s="87" t="s">
        <v>537</v>
      </c>
      <c r="M14" s="87"/>
      <c r="N14" s="87"/>
      <c r="O14" s="87"/>
      <c r="P14" s="23" t="s">
        <v>42</v>
      </c>
      <c r="Q14" s="23" t="s">
        <v>538</v>
      </c>
      <c r="R14" s="23">
        <v>61.11</v>
      </c>
      <c r="S14" s="23">
        <v>45</v>
      </c>
      <c r="T14" s="23">
        <v>52.33</v>
      </c>
      <c r="U14" s="45">
        <f>116.28</f>
        <v>116.28</v>
      </c>
    </row>
    <row r="15" spans="1:22" ht="75" customHeight="1" thickBot="1" x14ac:dyDescent="0.25">
      <c r="A15" s="21"/>
      <c r="B15" s="24" t="s">
        <v>49</v>
      </c>
      <c r="C15" s="88" t="s">
        <v>539</v>
      </c>
      <c r="D15" s="88"/>
      <c r="E15" s="88"/>
      <c r="F15" s="88"/>
      <c r="G15" s="88"/>
      <c r="H15" s="88"/>
      <c r="I15" s="88" t="s">
        <v>540</v>
      </c>
      <c r="J15" s="88"/>
      <c r="K15" s="88"/>
      <c r="L15" s="88" t="s">
        <v>541</v>
      </c>
      <c r="M15" s="88"/>
      <c r="N15" s="88"/>
      <c r="O15" s="88"/>
      <c r="P15" s="25" t="s">
        <v>42</v>
      </c>
      <c r="Q15" s="25" t="s">
        <v>538</v>
      </c>
      <c r="R15" s="25">
        <v>29.09</v>
      </c>
      <c r="S15" s="25">
        <v>35.56</v>
      </c>
      <c r="T15" s="25">
        <v>32.200000000000003</v>
      </c>
      <c r="U15" s="46">
        <f>90.55</f>
        <v>90.55</v>
      </c>
    </row>
    <row r="16" spans="1:22" ht="14.25" customHeight="1" thickTop="1" thickBot="1" x14ac:dyDescent="0.25">
      <c r="B16" s="4" t="s">
        <v>62</v>
      </c>
      <c r="C16" s="5"/>
      <c r="D16" s="5"/>
      <c r="E16" s="5"/>
      <c r="F16" s="5"/>
      <c r="G16" s="5"/>
      <c r="H16" s="6"/>
      <c r="I16" s="6"/>
      <c r="J16" s="6"/>
      <c r="K16" s="6"/>
      <c r="L16" s="6"/>
      <c r="M16" s="6"/>
      <c r="N16" s="6"/>
      <c r="O16" s="6"/>
      <c r="P16" s="6"/>
      <c r="Q16" s="6"/>
      <c r="R16" s="6"/>
      <c r="S16" s="6"/>
      <c r="T16" s="6"/>
      <c r="U16" s="7"/>
      <c r="V16" s="26"/>
    </row>
    <row r="17" spans="2:21" ht="26.25" customHeight="1" thickTop="1" x14ac:dyDescent="0.2">
      <c r="B17" s="27"/>
      <c r="C17" s="28"/>
      <c r="D17" s="28"/>
      <c r="E17" s="28"/>
      <c r="F17" s="28"/>
      <c r="G17" s="28"/>
      <c r="H17" s="29"/>
      <c r="I17" s="29"/>
      <c r="J17" s="29"/>
      <c r="K17" s="29"/>
      <c r="L17" s="29"/>
      <c r="M17" s="29"/>
      <c r="N17" s="29"/>
      <c r="O17" s="29"/>
      <c r="P17" s="29"/>
      <c r="Q17" s="29"/>
      <c r="R17" s="30"/>
      <c r="S17" s="31" t="s">
        <v>33</v>
      </c>
      <c r="T17" s="31" t="s">
        <v>63</v>
      </c>
      <c r="U17" s="18" t="s">
        <v>64</v>
      </c>
    </row>
    <row r="18" spans="2:21" ht="26.25" customHeight="1" thickBot="1" x14ac:dyDescent="0.25">
      <c r="B18" s="32"/>
      <c r="C18" s="33"/>
      <c r="D18" s="33"/>
      <c r="E18" s="33"/>
      <c r="F18" s="33"/>
      <c r="G18" s="33"/>
      <c r="H18" s="34"/>
      <c r="I18" s="34"/>
      <c r="J18" s="34"/>
      <c r="K18" s="34"/>
      <c r="L18" s="34"/>
      <c r="M18" s="34"/>
      <c r="N18" s="34"/>
      <c r="O18" s="34"/>
      <c r="P18" s="34"/>
      <c r="Q18" s="34"/>
      <c r="R18" s="34"/>
      <c r="S18" s="35" t="s">
        <v>65</v>
      </c>
      <c r="T18" s="36" t="s">
        <v>65</v>
      </c>
      <c r="U18" s="36" t="s">
        <v>66</v>
      </c>
    </row>
    <row r="19" spans="2:21" ht="13.5" customHeight="1" thickBot="1" x14ac:dyDescent="0.25">
      <c r="B19" s="95" t="s">
        <v>67</v>
      </c>
      <c r="C19" s="96"/>
      <c r="D19" s="96"/>
      <c r="E19" s="37"/>
      <c r="F19" s="37"/>
      <c r="G19" s="37"/>
      <c r="H19" s="38"/>
      <c r="I19" s="38"/>
      <c r="J19" s="38"/>
      <c r="K19" s="38"/>
      <c r="L19" s="38"/>
      <c r="M19" s="38"/>
      <c r="N19" s="38"/>
      <c r="O19" s="38"/>
      <c r="P19" s="39"/>
      <c r="Q19" s="39"/>
      <c r="R19" s="39"/>
      <c r="S19" s="47">
        <v>162.106585</v>
      </c>
      <c r="T19" s="47">
        <v>235.97508905000007</v>
      </c>
      <c r="U19" s="48">
        <f>+IF(ISERR(T19/S19*100),"N/A",ROUND(T19/S19*100,1))</f>
        <v>145.6</v>
      </c>
    </row>
    <row r="20" spans="2:21" ht="13.5" customHeight="1" thickBot="1" x14ac:dyDescent="0.25">
      <c r="B20" s="97" t="s">
        <v>68</v>
      </c>
      <c r="C20" s="98"/>
      <c r="D20" s="98"/>
      <c r="E20" s="40"/>
      <c r="F20" s="40"/>
      <c r="G20" s="40"/>
      <c r="H20" s="41"/>
      <c r="I20" s="41"/>
      <c r="J20" s="41"/>
      <c r="K20" s="41"/>
      <c r="L20" s="41"/>
      <c r="M20" s="41"/>
      <c r="N20" s="41"/>
      <c r="O20" s="41"/>
      <c r="P20" s="42"/>
      <c r="Q20" s="42"/>
      <c r="R20" s="42"/>
      <c r="S20" s="47">
        <v>235.97508905000007</v>
      </c>
      <c r="T20" s="47">
        <v>235.97508905000007</v>
      </c>
      <c r="U20" s="48">
        <f>+IF(ISERR(T20/S20*100),"N/A",ROUND(T20/S20*100,1))</f>
        <v>100</v>
      </c>
    </row>
    <row r="21" spans="2:21" ht="14.85" customHeight="1" thickTop="1" thickBot="1" x14ac:dyDescent="0.25">
      <c r="B21" s="4" t="s">
        <v>69</v>
      </c>
      <c r="C21" s="5"/>
      <c r="D21" s="5"/>
      <c r="E21" s="5"/>
      <c r="F21" s="5"/>
      <c r="G21" s="5"/>
      <c r="H21" s="6"/>
      <c r="I21" s="6"/>
      <c r="J21" s="6"/>
      <c r="K21" s="6"/>
      <c r="L21" s="6"/>
      <c r="M21" s="6"/>
      <c r="N21" s="6"/>
      <c r="O21" s="6"/>
      <c r="P21" s="6"/>
      <c r="Q21" s="6"/>
      <c r="R21" s="6"/>
      <c r="S21" s="6"/>
      <c r="T21" s="6"/>
      <c r="U21" s="7"/>
    </row>
    <row r="22" spans="2:21" ht="44.25" customHeight="1" thickTop="1" x14ac:dyDescent="0.2">
      <c r="B22" s="99" t="s">
        <v>70</v>
      </c>
      <c r="C22" s="100"/>
      <c r="D22" s="100"/>
      <c r="E22" s="100"/>
      <c r="F22" s="100"/>
      <c r="G22" s="100"/>
      <c r="H22" s="100"/>
      <c r="I22" s="100"/>
      <c r="J22" s="100"/>
      <c r="K22" s="100"/>
      <c r="L22" s="100"/>
      <c r="M22" s="100"/>
      <c r="N22" s="100"/>
      <c r="O22" s="100"/>
      <c r="P22" s="100"/>
      <c r="Q22" s="100"/>
      <c r="R22" s="100"/>
      <c r="S22" s="100"/>
      <c r="T22" s="100"/>
      <c r="U22" s="101"/>
    </row>
    <row r="23" spans="2:21" ht="174" customHeight="1" x14ac:dyDescent="0.2">
      <c r="B23" s="89" t="s">
        <v>542</v>
      </c>
      <c r="C23" s="90"/>
      <c r="D23" s="90"/>
      <c r="E23" s="90"/>
      <c r="F23" s="90"/>
      <c r="G23" s="90"/>
      <c r="H23" s="90"/>
      <c r="I23" s="90"/>
      <c r="J23" s="90"/>
      <c r="K23" s="90"/>
      <c r="L23" s="90"/>
      <c r="M23" s="90"/>
      <c r="N23" s="90"/>
      <c r="O23" s="90"/>
      <c r="P23" s="90"/>
      <c r="Q23" s="90"/>
      <c r="R23" s="90"/>
      <c r="S23" s="90"/>
      <c r="T23" s="90"/>
      <c r="U23" s="91"/>
    </row>
    <row r="24" spans="2:21" ht="48" customHeight="1" x14ac:dyDescent="0.2">
      <c r="B24" s="89" t="s">
        <v>543</v>
      </c>
      <c r="C24" s="90"/>
      <c r="D24" s="90"/>
      <c r="E24" s="90"/>
      <c r="F24" s="90"/>
      <c r="G24" s="90"/>
      <c r="H24" s="90"/>
      <c r="I24" s="90"/>
      <c r="J24" s="90"/>
      <c r="K24" s="90"/>
      <c r="L24" s="90"/>
      <c r="M24" s="90"/>
      <c r="N24" s="90"/>
      <c r="O24" s="90"/>
      <c r="P24" s="90"/>
      <c r="Q24" s="90"/>
      <c r="R24" s="90"/>
      <c r="S24" s="90"/>
      <c r="T24" s="90"/>
      <c r="U24" s="91"/>
    </row>
    <row r="25" spans="2:21" ht="54" customHeight="1" x14ac:dyDescent="0.2">
      <c r="B25" s="89" t="s">
        <v>544</v>
      </c>
      <c r="C25" s="90"/>
      <c r="D25" s="90"/>
      <c r="E25" s="90"/>
      <c r="F25" s="90"/>
      <c r="G25" s="90"/>
      <c r="H25" s="90"/>
      <c r="I25" s="90"/>
      <c r="J25" s="90"/>
      <c r="K25" s="90"/>
      <c r="L25" s="90"/>
      <c r="M25" s="90"/>
      <c r="N25" s="90"/>
      <c r="O25" s="90"/>
      <c r="P25" s="90"/>
      <c r="Q25" s="90"/>
      <c r="R25" s="90"/>
      <c r="S25" s="90"/>
      <c r="T25" s="90"/>
      <c r="U25" s="91"/>
    </row>
    <row r="26" spans="2:21" ht="69.75" customHeight="1" x14ac:dyDescent="0.2">
      <c r="B26" s="89" t="s">
        <v>545</v>
      </c>
      <c r="C26" s="90"/>
      <c r="D26" s="90"/>
      <c r="E26" s="90"/>
      <c r="F26" s="90"/>
      <c r="G26" s="90"/>
      <c r="H26" s="90"/>
      <c r="I26" s="90"/>
      <c r="J26" s="90"/>
      <c r="K26" s="90"/>
      <c r="L26" s="90"/>
      <c r="M26" s="90"/>
      <c r="N26" s="90"/>
      <c r="O26" s="90"/>
      <c r="P26" s="90"/>
      <c r="Q26" s="90"/>
      <c r="R26" s="90"/>
      <c r="S26" s="90"/>
      <c r="T26" s="90"/>
      <c r="U26" s="91"/>
    </row>
    <row r="27" spans="2:21" ht="69.75" customHeight="1" thickBot="1" x14ac:dyDescent="0.25">
      <c r="B27" s="92" t="s">
        <v>546</v>
      </c>
      <c r="C27" s="93"/>
      <c r="D27" s="93"/>
      <c r="E27" s="93"/>
      <c r="F27" s="93"/>
      <c r="G27" s="93"/>
      <c r="H27" s="93"/>
      <c r="I27" s="93"/>
      <c r="J27" s="93"/>
      <c r="K27" s="93"/>
      <c r="L27" s="93"/>
      <c r="M27" s="93"/>
      <c r="N27" s="93"/>
      <c r="O27" s="93"/>
      <c r="P27" s="93"/>
      <c r="Q27" s="93"/>
      <c r="R27" s="93"/>
      <c r="S27" s="93"/>
      <c r="T27" s="93"/>
      <c r="U27" s="94"/>
    </row>
  </sheetData>
  <mergeCells count="44">
    <mergeCell ref="B26:U26"/>
    <mergeCell ref="B27:U27"/>
    <mergeCell ref="B19:D19"/>
    <mergeCell ref="B20:D20"/>
    <mergeCell ref="B22:U22"/>
    <mergeCell ref="B23:U23"/>
    <mergeCell ref="B24:U24"/>
    <mergeCell ref="B25:U25"/>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7"/>
  <sheetViews>
    <sheetView view="pageBreakPreview" topLeftCell="L10" zoomScale="80" zoomScaleNormal="80" zoomScaleSheetLayoutView="80" workbookViewId="0">
      <selection activeCell="AB19" sqref="AB19"/>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7</v>
      </c>
      <c r="D4" s="57" t="s">
        <v>8</v>
      </c>
      <c r="E4" s="57"/>
      <c r="F4" s="57"/>
      <c r="G4" s="57"/>
      <c r="H4" s="57"/>
      <c r="I4" s="10"/>
      <c r="J4" s="11" t="s">
        <v>9</v>
      </c>
      <c r="K4" s="12" t="s">
        <v>10</v>
      </c>
      <c r="L4" s="58" t="s">
        <v>11</v>
      </c>
      <c r="M4" s="58"/>
      <c r="N4" s="58"/>
      <c r="O4" s="58"/>
      <c r="P4" s="11" t="s">
        <v>12</v>
      </c>
      <c r="Q4" s="58" t="s">
        <v>13</v>
      </c>
      <c r="R4" s="58"/>
      <c r="S4" s="11" t="s">
        <v>14</v>
      </c>
      <c r="T4" s="58"/>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60.75" customHeight="1" thickBot="1" x14ac:dyDescent="0.25">
      <c r="B6" s="13" t="s">
        <v>16</v>
      </c>
      <c r="C6" s="60" t="s">
        <v>17</v>
      </c>
      <c r="D6" s="60"/>
      <c r="E6" s="60"/>
      <c r="F6" s="60"/>
      <c r="G6" s="60"/>
      <c r="H6" s="14"/>
      <c r="I6" s="14"/>
      <c r="J6" s="14" t="s">
        <v>18</v>
      </c>
      <c r="K6" s="60" t="s">
        <v>19</v>
      </c>
      <c r="L6" s="60"/>
      <c r="M6" s="60"/>
      <c r="N6" s="15"/>
      <c r="O6" s="16" t="s">
        <v>20</v>
      </c>
      <c r="P6" s="60" t="s">
        <v>21</v>
      </c>
      <c r="Q6" s="60"/>
      <c r="R6" s="17"/>
      <c r="S6" s="16" t="s">
        <v>22</v>
      </c>
      <c r="T6" s="60" t="s">
        <v>23</v>
      </c>
      <c r="U6" s="61"/>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2"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2"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2" ht="75" customHeight="1" thickTop="1" thickBot="1" x14ac:dyDescent="0.25">
      <c r="A11" s="21"/>
      <c r="B11" s="22" t="s">
        <v>38</v>
      </c>
      <c r="C11" s="87" t="s">
        <v>39</v>
      </c>
      <c r="D11" s="87"/>
      <c r="E11" s="87"/>
      <c r="F11" s="87"/>
      <c r="G11" s="87"/>
      <c r="H11" s="87"/>
      <c r="I11" s="87" t="s">
        <v>40</v>
      </c>
      <c r="J11" s="87"/>
      <c r="K11" s="87"/>
      <c r="L11" s="87" t="s">
        <v>41</v>
      </c>
      <c r="M11" s="87"/>
      <c r="N11" s="87"/>
      <c r="O11" s="87"/>
      <c r="P11" s="23" t="s">
        <v>42</v>
      </c>
      <c r="Q11" s="23" t="s">
        <v>43</v>
      </c>
      <c r="R11" s="23">
        <v>42.13</v>
      </c>
      <c r="S11" s="23">
        <v>42.13</v>
      </c>
      <c r="T11" s="23">
        <v>0</v>
      </c>
      <c r="U11" s="45">
        <f>0</f>
        <v>0</v>
      </c>
    </row>
    <row r="12" spans="1:22" ht="75" customHeight="1" thickTop="1" x14ac:dyDescent="0.2">
      <c r="A12" s="21"/>
      <c r="B12" s="22" t="s">
        <v>44</v>
      </c>
      <c r="C12" s="87" t="s">
        <v>45</v>
      </c>
      <c r="D12" s="87"/>
      <c r="E12" s="87"/>
      <c r="F12" s="87"/>
      <c r="G12" s="87"/>
      <c r="H12" s="87"/>
      <c r="I12" s="87" t="s">
        <v>46</v>
      </c>
      <c r="J12" s="87"/>
      <c r="K12" s="87"/>
      <c r="L12" s="87" t="s">
        <v>47</v>
      </c>
      <c r="M12" s="87"/>
      <c r="N12" s="87"/>
      <c r="O12" s="87"/>
      <c r="P12" s="23" t="s">
        <v>42</v>
      </c>
      <c r="Q12" s="23" t="s">
        <v>48</v>
      </c>
      <c r="R12" s="23">
        <v>73.680000000000007</v>
      </c>
      <c r="S12" s="23">
        <v>73.680000000000007</v>
      </c>
      <c r="T12" s="23">
        <v>100</v>
      </c>
      <c r="U12" s="45">
        <f>135.72</f>
        <v>135.72</v>
      </c>
    </row>
    <row r="13" spans="1:22" ht="75" customHeight="1" thickBot="1" x14ac:dyDescent="0.25">
      <c r="A13" s="21"/>
      <c r="B13" s="24" t="s">
        <v>49</v>
      </c>
      <c r="C13" s="88" t="s">
        <v>49</v>
      </c>
      <c r="D13" s="88"/>
      <c r="E13" s="88"/>
      <c r="F13" s="88"/>
      <c r="G13" s="88"/>
      <c r="H13" s="88"/>
      <c r="I13" s="88" t="s">
        <v>50</v>
      </c>
      <c r="J13" s="88"/>
      <c r="K13" s="88"/>
      <c r="L13" s="88" t="s">
        <v>51</v>
      </c>
      <c r="M13" s="88"/>
      <c r="N13" s="88"/>
      <c r="O13" s="88"/>
      <c r="P13" s="25" t="s">
        <v>42</v>
      </c>
      <c r="Q13" s="25" t="s">
        <v>48</v>
      </c>
      <c r="R13" s="25">
        <v>52.38</v>
      </c>
      <c r="S13" s="25">
        <v>52.38</v>
      </c>
      <c r="T13" s="25">
        <v>65.08</v>
      </c>
      <c r="U13" s="46">
        <f>124.24</f>
        <v>124.24</v>
      </c>
    </row>
    <row r="14" spans="1:22" ht="141" customHeight="1" thickTop="1" thickBot="1" x14ac:dyDescent="0.25">
      <c r="A14" s="21"/>
      <c r="B14" s="22" t="s">
        <v>52</v>
      </c>
      <c r="C14" s="87" t="s">
        <v>53</v>
      </c>
      <c r="D14" s="87"/>
      <c r="E14" s="87"/>
      <c r="F14" s="87"/>
      <c r="G14" s="87"/>
      <c r="H14" s="87"/>
      <c r="I14" s="87" t="s">
        <v>54</v>
      </c>
      <c r="J14" s="87"/>
      <c r="K14" s="87"/>
      <c r="L14" s="87" t="s">
        <v>55</v>
      </c>
      <c r="M14" s="87"/>
      <c r="N14" s="87"/>
      <c r="O14" s="87"/>
      <c r="P14" s="23" t="s">
        <v>42</v>
      </c>
      <c r="Q14" s="23" t="s">
        <v>56</v>
      </c>
      <c r="R14" s="23">
        <v>100</v>
      </c>
      <c r="S14" s="23">
        <v>100</v>
      </c>
      <c r="T14" s="23">
        <v>100</v>
      </c>
      <c r="U14" s="45">
        <f>100</f>
        <v>100</v>
      </c>
    </row>
    <row r="15" spans="1:22" ht="77.25" customHeight="1" thickTop="1" thickBot="1" x14ac:dyDescent="0.25">
      <c r="A15" s="21"/>
      <c r="B15" s="22" t="s">
        <v>57</v>
      </c>
      <c r="C15" s="87" t="s">
        <v>58</v>
      </c>
      <c r="D15" s="87"/>
      <c r="E15" s="87"/>
      <c r="F15" s="87"/>
      <c r="G15" s="87"/>
      <c r="H15" s="87"/>
      <c r="I15" s="87" t="s">
        <v>59</v>
      </c>
      <c r="J15" s="87"/>
      <c r="K15" s="87"/>
      <c r="L15" s="87" t="s">
        <v>60</v>
      </c>
      <c r="M15" s="87"/>
      <c r="N15" s="87"/>
      <c r="O15" s="87"/>
      <c r="P15" s="23" t="s">
        <v>42</v>
      </c>
      <c r="Q15" s="23" t="s">
        <v>61</v>
      </c>
      <c r="R15" s="23">
        <v>100</v>
      </c>
      <c r="S15" s="23">
        <v>100</v>
      </c>
      <c r="T15" s="23">
        <v>100</v>
      </c>
      <c r="U15" s="45">
        <f>100</f>
        <v>100</v>
      </c>
    </row>
    <row r="16" spans="1:22" ht="14.25" customHeight="1" thickTop="1" thickBot="1" x14ac:dyDescent="0.25">
      <c r="B16" s="4" t="s">
        <v>62</v>
      </c>
      <c r="C16" s="5"/>
      <c r="D16" s="5"/>
      <c r="E16" s="5"/>
      <c r="F16" s="5"/>
      <c r="G16" s="5"/>
      <c r="H16" s="6"/>
      <c r="I16" s="6"/>
      <c r="J16" s="6"/>
      <c r="K16" s="6"/>
      <c r="L16" s="6"/>
      <c r="M16" s="6"/>
      <c r="N16" s="6"/>
      <c r="O16" s="6"/>
      <c r="P16" s="6"/>
      <c r="Q16" s="6"/>
      <c r="R16" s="6"/>
      <c r="S16" s="6"/>
      <c r="T16" s="6"/>
      <c r="U16" s="7"/>
      <c r="V16" s="26"/>
    </row>
    <row r="17" spans="2:21" ht="26.25" customHeight="1" thickTop="1" x14ac:dyDescent="0.2">
      <c r="B17" s="27"/>
      <c r="C17" s="28"/>
      <c r="D17" s="28"/>
      <c r="E17" s="28"/>
      <c r="F17" s="28"/>
      <c r="G17" s="28"/>
      <c r="H17" s="29"/>
      <c r="I17" s="29"/>
      <c r="J17" s="29"/>
      <c r="K17" s="29"/>
      <c r="L17" s="29"/>
      <c r="M17" s="29"/>
      <c r="N17" s="29"/>
      <c r="O17" s="29"/>
      <c r="P17" s="29"/>
      <c r="Q17" s="29"/>
      <c r="R17" s="30"/>
      <c r="S17" s="31" t="s">
        <v>33</v>
      </c>
      <c r="T17" s="31" t="s">
        <v>63</v>
      </c>
      <c r="U17" s="18" t="s">
        <v>64</v>
      </c>
    </row>
    <row r="18" spans="2:21" ht="26.25" customHeight="1" thickBot="1" x14ac:dyDescent="0.25">
      <c r="B18" s="32"/>
      <c r="C18" s="33"/>
      <c r="D18" s="33"/>
      <c r="E18" s="33"/>
      <c r="F18" s="33"/>
      <c r="G18" s="33"/>
      <c r="H18" s="34"/>
      <c r="I18" s="34"/>
      <c r="J18" s="34"/>
      <c r="K18" s="34"/>
      <c r="L18" s="34"/>
      <c r="M18" s="34"/>
      <c r="N18" s="34"/>
      <c r="O18" s="34"/>
      <c r="P18" s="34"/>
      <c r="Q18" s="34"/>
      <c r="R18" s="34"/>
      <c r="S18" s="35" t="s">
        <v>65</v>
      </c>
      <c r="T18" s="36" t="s">
        <v>65</v>
      </c>
      <c r="U18" s="36" t="s">
        <v>66</v>
      </c>
    </row>
    <row r="19" spans="2:21" ht="13.5" customHeight="1" thickBot="1" x14ac:dyDescent="0.25">
      <c r="B19" s="95" t="s">
        <v>67</v>
      </c>
      <c r="C19" s="96"/>
      <c r="D19" s="96"/>
      <c r="E19" s="37"/>
      <c r="F19" s="37"/>
      <c r="G19" s="37"/>
      <c r="H19" s="38"/>
      <c r="I19" s="38"/>
      <c r="J19" s="38"/>
      <c r="K19" s="38"/>
      <c r="L19" s="38"/>
      <c r="M19" s="38"/>
      <c r="N19" s="38"/>
      <c r="O19" s="38"/>
      <c r="P19" s="39"/>
      <c r="Q19" s="39"/>
      <c r="R19" s="39"/>
      <c r="S19" s="47">
        <v>2621.982</v>
      </c>
      <c r="T19" s="47">
        <v>1965.9284684499999</v>
      </c>
      <c r="U19" s="48">
        <f>+IF(ISERR(T19/S19*100),"N/A",ROUND(T19/S19*100,1))</f>
        <v>75</v>
      </c>
    </row>
    <row r="20" spans="2:21" ht="13.5" customHeight="1" thickBot="1" x14ac:dyDescent="0.25">
      <c r="B20" s="97" t="s">
        <v>68</v>
      </c>
      <c r="C20" s="98"/>
      <c r="D20" s="98"/>
      <c r="E20" s="40"/>
      <c r="F20" s="40"/>
      <c r="G20" s="40"/>
      <c r="H20" s="41"/>
      <c r="I20" s="41"/>
      <c r="J20" s="41"/>
      <c r="K20" s="41"/>
      <c r="L20" s="41"/>
      <c r="M20" s="41"/>
      <c r="N20" s="41"/>
      <c r="O20" s="41"/>
      <c r="P20" s="42"/>
      <c r="Q20" s="42"/>
      <c r="R20" s="42"/>
      <c r="S20" s="47">
        <v>1965.9284684499999</v>
      </c>
      <c r="T20" s="47">
        <v>1965.9284684499999</v>
      </c>
      <c r="U20" s="48">
        <f>+IF(ISERR(T20/S20*100),"N/A",ROUND(T20/S20*100,1))</f>
        <v>100</v>
      </c>
    </row>
    <row r="21" spans="2:21" ht="14.85" customHeight="1" thickTop="1" thickBot="1" x14ac:dyDescent="0.25">
      <c r="B21" s="4" t="s">
        <v>69</v>
      </c>
      <c r="C21" s="5"/>
      <c r="D21" s="5"/>
      <c r="E21" s="5"/>
      <c r="F21" s="5"/>
      <c r="G21" s="5"/>
      <c r="H21" s="6"/>
      <c r="I21" s="6"/>
      <c r="J21" s="6"/>
      <c r="K21" s="6"/>
      <c r="L21" s="6"/>
      <c r="M21" s="6"/>
      <c r="N21" s="6"/>
      <c r="O21" s="6"/>
      <c r="P21" s="6"/>
      <c r="Q21" s="6"/>
      <c r="R21" s="6"/>
      <c r="S21" s="6"/>
      <c r="T21" s="6"/>
      <c r="U21" s="7"/>
    </row>
    <row r="22" spans="2:21" ht="44.25" customHeight="1" thickTop="1" x14ac:dyDescent="0.2">
      <c r="B22" s="99" t="s">
        <v>70</v>
      </c>
      <c r="C22" s="100"/>
      <c r="D22" s="100"/>
      <c r="E22" s="100"/>
      <c r="F22" s="100"/>
      <c r="G22" s="100"/>
      <c r="H22" s="100"/>
      <c r="I22" s="100"/>
      <c r="J22" s="100"/>
      <c r="K22" s="100"/>
      <c r="L22" s="100"/>
      <c r="M22" s="100"/>
      <c r="N22" s="100"/>
      <c r="O22" s="100"/>
      <c r="P22" s="100"/>
      <c r="Q22" s="100"/>
      <c r="R22" s="100"/>
      <c r="S22" s="100"/>
      <c r="T22" s="100"/>
      <c r="U22" s="101"/>
    </row>
    <row r="23" spans="2:21" ht="61.5" customHeight="1" x14ac:dyDescent="0.2">
      <c r="B23" s="89" t="s">
        <v>71</v>
      </c>
      <c r="C23" s="90"/>
      <c r="D23" s="90"/>
      <c r="E23" s="90"/>
      <c r="F23" s="90"/>
      <c r="G23" s="90"/>
      <c r="H23" s="90"/>
      <c r="I23" s="90"/>
      <c r="J23" s="90"/>
      <c r="K23" s="90"/>
      <c r="L23" s="90"/>
      <c r="M23" s="90"/>
      <c r="N23" s="90"/>
      <c r="O23" s="90"/>
      <c r="P23" s="90"/>
      <c r="Q23" s="90"/>
      <c r="R23" s="90"/>
      <c r="S23" s="90"/>
      <c r="T23" s="90"/>
      <c r="U23" s="91"/>
    </row>
    <row r="24" spans="2:21" ht="61.5" customHeight="1" x14ac:dyDescent="0.2">
      <c r="B24" s="89" t="s">
        <v>72</v>
      </c>
      <c r="C24" s="90"/>
      <c r="D24" s="90"/>
      <c r="E24" s="90"/>
      <c r="F24" s="90"/>
      <c r="G24" s="90"/>
      <c r="H24" s="90"/>
      <c r="I24" s="90"/>
      <c r="J24" s="90"/>
      <c r="K24" s="90"/>
      <c r="L24" s="90"/>
      <c r="M24" s="90"/>
      <c r="N24" s="90"/>
      <c r="O24" s="90"/>
      <c r="P24" s="90"/>
      <c r="Q24" s="90"/>
      <c r="R24" s="90"/>
      <c r="S24" s="90"/>
      <c r="T24" s="90"/>
      <c r="U24" s="91"/>
    </row>
    <row r="25" spans="2:21" ht="61.5" customHeight="1" x14ac:dyDescent="0.2">
      <c r="B25" s="89" t="s">
        <v>73</v>
      </c>
      <c r="C25" s="90"/>
      <c r="D25" s="90"/>
      <c r="E25" s="90"/>
      <c r="F25" s="90"/>
      <c r="G25" s="90"/>
      <c r="H25" s="90"/>
      <c r="I25" s="90"/>
      <c r="J25" s="90"/>
      <c r="K25" s="90"/>
      <c r="L25" s="90"/>
      <c r="M25" s="90"/>
      <c r="N25" s="90"/>
      <c r="O25" s="90"/>
      <c r="P25" s="90"/>
      <c r="Q25" s="90"/>
      <c r="R25" s="90"/>
      <c r="S25" s="90"/>
      <c r="T25" s="90"/>
      <c r="U25" s="91"/>
    </row>
    <row r="26" spans="2:21" ht="53.25" customHeight="1" x14ac:dyDescent="0.2">
      <c r="B26" s="89" t="s">
        <v>74</v>
      </c>
      <c r="C26" s="90"/>
      <c r="D26" s="90"/>
      <c r="E26" s="90"/>
      <c r="F26" s="90"/>
      <c r="G26" s="90"/>
      <c r="H26" s="90"/>
      <c r="I26" s="90"/>
      <c r="J26" s="90"/>
      <c r="K26" s="90"/>
      <c r="L26" s="90"/>
      <c r="M26" s="90"/>
      <c r="N26" s="90"/>
      <c r="O26" s="90"/>
      <c r="P26" s="90"/>
      <c r="Q26" s="90"/>
      <c r="R26" s="90"/>
      <c r="S26" s="90"/>
      <c r="T26" s="90"/>
      <c r="U26" s="91"/>
    </row>
    <row r="27" spans="2:21" ht="59.25" customHeight="1" thickBot="1" x14ac:dyDescent="0.25">
      <c r="B27" s="92" t="s">
        <v>75</v>
      </c>
      <c r="C27" s="93"/>
      <c r="D27" s="93"/>
      <c r="E27" s="93"/>
      <c r="F27" s="93"/>
      <c r="G27" s="93"/>
      <c r="H27" s="93"/>
      <c r="I27" s="93"/>
      <c r="J27" s="93"/>
      <c r="K27" s="93"/>
      <c r="L27" s="93"/>
      <c r="M27" s="93"/>
      <c r="N27" s="93"/>
      <c r="O27" s="93"/>
      <c r="P27" s="93"/>
      <c r="Q27" s="93"/>
      <c r="R27" s="93"/>
      <c r="S27" s="93"/>
      <c r="T27" s="93"/>
      <c r="U27" s="94"/>
    </row>
  </sheetData>
  <mergeCells count="44">
    <mergeCell ref="B26:U26"/>
    <mergeCell ref="B27:U27"/>
    <mergeCell ref="B19:D19"/>
    <mergeCell ref="B20:D20"/>
    <mergeCell ref="B22:U22"/>
    <mergeCell ref="B23:U23"/>
    <mergeCell ref="B24:U24"/>
    <mergeCell ref="B25:U25"/>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3"/>
  <sheetViews>
    <sheetView view="pageBreakPreview" topLeftCell="M19" zoomScale="80" zoomScaleNormal="80" zoomScaleSheetLayoutView="80" workbookViewId="0">
      <selection activeCell="W30" sqref="W30"/>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76</v>
      </c>
      <c r="D4" s="57" t="s">
        <v>77</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63" customHeight="1" thickBot="1" x14ac:dyDescent="0.25">
      <c r="B6" s="13" t="s">
        <v>16</v>
      </c>
      <c r="C6" s="60" t="s">
        <v>17</v>
      </c>
      <c r="D6" s="60"/>
      <c r="E6" s="60"/>
      <c r="F6" s="60"/>
      <c r="G6" s="60"/>
      <c r="H6" s="14"/>
      <c r="I6" s="14"/>
      <c r="J6" s="14" t="s">
        <v>18</v>
      </c>
      <c r="K6" s="60" t="s">
        <v>78</v>
      </c>
      <c r="L6" s="60"/>
      <c r="M6" s="60"/>
      <c r="N6" s="15"/>
      <c r="O6" s="16" t="s">
        <v>20</v>
      </c>
      <c r="P6" s="60" t="s">
        <v>79</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01.25" customHeight="1" thickTop="1" x14ac:dyDescent="0.2">
      <c r="A11" s="21"/>
      <c r="B11" s="22" t="s">
        <v>38</v>
      </c>
      <c r="C11" s="87" t="s">
        <v>80</v>
      </c>
      <c r="D11" s="87"/>
      <c r="E11" s="87"/>
      <c r="F11" s="87"/>
      <c r="G11" s="87"/>
      <c r="H11" s="87"/>
      <c r="I11" s="87" t="s">
        <v>81</v>
      </c>
      <c r="J11" s="87"/>
      <c r="K11" s="87"/>
      <c r="L11" s="87" t="s">
        <v>82</v>
      </c>
      <c r="M11" s="87"/>
      <c r="N11" s="87"/>
      <c r="O11" s="87"/>
      <c r="P11" s="23" t="s">
        <v>42</v>
      </c>
      <c r="Q11" s="23" t="s">
        <v>43</v>
      </c>
      <c r="R11" s="23">
        <v>100</v>
      </c>
      <c r="S11" s="23">
        <v>100</v>
      </c>
      <c r="T11" s="23">
        <v>100.43</v>
      </c>
      <c r="U11" s="45">
        <f>100.43</f>
        <v>100.43</v>
      </c>
    </row>
    <row r="12" spans="1:21" ht="105" customHeight="1" thickBot="1" x14ac:dyDescent="0.25">
      <c r="A12" s="21"/>
      <c r="B12" s="24" t="s">
        <v>49</v>
      </c>
      <c r="C12" s="88" t="s">
        <v>49</v>
      </c>
      <c r="D12" s="88"/>
      <c r="E12" s="88"/>
      <c r="F12" s="88"/>
      <c r="G12" s="88"/>
      <c r="H12" s="88"/>
      <c r="I12" s="88" t="s">
        <v>83</v>
      </c>
      <c r="J12" s="88"/>
      <c r="K12" s="88"/>
      <c r="L12" s="88" t="s">
        <v>84</v>
      </c>
      <c r="M12" s="88"/>
      <c r="N12" s="88"/>
      <c r="O12" s="88"/>
      <c r="P12" s="25" t="s">
        <v>42</v>
      </c>
      <c r="Q12" s="25" t="s">
        <v>43</v>
      </c>
      <c r="R12" s="25">
        <v>100</v>
      </c>
      <c r="S12" s="25">
        <v>100</v>
      </c>
      <c r="T12" s="25">
        <v>100.13</v>
      </c>
      <c r="U12" s="46">
        <f>100.13</f>
        <v>100.13</v>
      </c>
    </row>
    <row r="13" spans="1:21" ht="93.75" customHeight="1" thickTop="1" thickBot="1" x14ac:dyDescent="0.25">
      <c r="A13" s="21"/>
      <c r="B13" s="22" t="s">
        <v>44</v>
      </c>
      <c r="C13" s="87" t="s">
        <v>85</v>
      </c>
      <c r="D13" s="87"/>
      <c r="E13" s="87"/>
      <c r="F13" s="87"/>
      <c r="G13" s="87"/>
      <c r="H13" s="87"/>
      <c r="I13" s="87" t="s">
        <v>86</v>
      </c>
      <c r="J13" s="87"/>
      <c r="K13" s="87"/>
      <c r="L13" s="87" t="s">
        <v>87</v>
      </c>
      <c r="M13" s="87"/>
      <c r="N13" s="87"/>
      <c r="O13" s="87"/>
      <c r="P13" s="23" t="s">
        <v>42</v>
      </c>
      <c r="Q13" s="23" t="s">
        <v>43</v>
      </c>
      <c r="R13" s="23">
        <v>100</v>
      </c>
      <c r="S13" s="23">
        <v>100</v>
      </c>
      <c r="T13" s="23">
        <v>91.67</v>
      </c>
      <c r="U13" s="45">
        <f>91.67</f>
        <v>91.67</v>
      </c>
    </row>
    <row r="14" spans="1:21" ht="105.75" customHeight="1" thickTop="1" x14ac:dyDescent="0.2">
      <c r="A14" s="21"/>
      <c r="B14" s="22" t="s">
        <v>52</v>
      </c>
      <c r="C14" s="87" t="s">
        <v>88</v>
      </c>
      <c r="D14" s="87"/>
      <c r="E14" s="87"/>
      <c r="F14" s="87"/>
      <c r="G14" s="87"/>
      <c r="H14" s="87"/>
      <c r="I14" s="87" t="s">
        <v>89</v>
      </c>
      <c r="J14" s="87"/>
      <c r="K14" s="87"/>
      <c r="L14" s="87" t="s">
        <v>90</v>
      </c>
      <c r="M14" s="87"/>
      <c r="N14" s="87"/>
      <c r="O14" s="87"/>
      <c r="P14" s="23" t="s">
        <v>42</v>
      </c>
      <c r="Q14" s="23" t="s">
        <v>91</v>
      </c>
      <c r="R14" s="23">
        <v>100</v>
      </c>
      <c r="S14" s="23">
        <v>100</v>
      </c>
      <c r="T14" s="23">
        <v>100</v>
      </c>
      <c r="U14" s="45">
        <f>100</f>
        <v>100</v>
      </c>
    </row>
    <row r="15" spans="1:21" ht="101.25" customHeight="1" thickBot="1" x14ac:dyDescent="0.25">
      <c r="A15" s="21"/>
      <c r="B15" s="24" t="s">
        <v>49</v>
      </c>
      <c r="C15" s="88" t="s">
        <v>49</v>
      </c>
      <c r="D15" s="88"/>
      <c r="E15" s="88"/>
      <c r="F15" s="88"/>
      <c r="G15" s="88"/>
      <c r="H15" s="88"/>
      <c r="I15" s="88" t="s">
        <v>92</v>
      </c>
      <c r="J15" s="88"/>
      <c r="K15" s="88"/>
      <c r="L15" s="88" t="s">
        <v>93</v>
      </c>
      <c r="M15" s="88"/>
      <c r="N15" s="88"/>
      <c r="O15" s="88"/>
      <c r="P15" s="25" t="s">
        <v>42</v>
      </c>
      <c r="Q15" s="25" t="s">
        <v>91</v>
      </c>
      <c r="R15" s="25">
        <v>100</v>
      </c>
      <c r="S15" s="25">
        <v>100</v>
      </c>
      <c r="T15" s="25">
        <v>86.5</v>
      </c>
      <c r="U15" s="46">
        <f>86.5</f>
        <v>86.5</v>
      </c>
    </row>
    <row r="16" spans="1:21" ht="75" customHeight="1" thickTop="1" x14ac:dyDescent="0.2">
      <c r="A16" s="21"/>
      <c r="B16" s="22" t="s">
        <v>57</v>
      </c>
      <c r="C16" s="87" t="s">
        <v>94</v>
      </c>
      <c r="D16" s="87"/>
      <c r="E16" s="87"/>
      <c r="F16" s="87"/>
      <c r="G16" s="87"/>
      <c r="H16" s="87"/>
      <c r="I16" s="87" t="s">
        <v>95</v>
      </c>
      <c r="J16" s="87"/>
      <c r="K16" s="87"/>
      <c r="L16" s="87" t="s">
        <v>96</v>
      </c>
      <c r="M16" s="87"/>
      <c r="N16" s="87"/>
      <c r="O16" s="87"/>
      <c r="P16" s="23" t="s">
        <v>42</v>
      </c>
      <c r="Q16" s="23" t="s">
        <v>61</v>
      </c>
      <c r="R16" s="23">
        <v>100</v>
      </c>
      <c r="S16" s="23">
        <v>100</v>
      </c>
      <c r="T16" s="23">
        <v>1100</v>
      </c>
      <c r="U16" s="45">
        <f>1100</f>
        <v>1100</v>
      </c>
    </row>
    <row r="17" spans="1:22" ht="78.75" customHeight="1" x14ac:dyDescent="0.2">
      <c r="A17" s="21"/>
      <c r="B17" s="24" t="s">
        <v>49</v>
      </c>
      <c r="C17" s="88" t="s">
        <v>97</v>
      </c>
      <c r="D17" s="88"/>
      <c r="E17" s="88"/>
      <c r="F17" s="88"/>
      <c r="G17" s="88"/>
      <c r="H17" s="88"/>
      <c r="I17" s="88" t="s">
        <v>98</v>
      </c>
      <c r="J17" s="88"/>
      <c r="K17" s="88"/>
      <c r="L17" s="88" t="s">
        <v>99</v>
      </c>
      <c r="M17" s="88"/>
      <c r="N17" s="88"/>
      <c r="O17" s="88"/>
      <c r="P17" s="25" t="s">
        <v>42</v>
      </c>
      <c r="Q17" s="25" t="s">
        <v>61</v>
      </c>
      <c r="R17" s="25">
        <v>100</v>
      </c>
      <c r="S17" s="25">
        <v>100</v>
      </c>
      <c r="T17" s="25">
        <v>99.99</v>
      </c>
      <c r="U17" s="46">
        <f>99.99</f>
        <v>99.99</v>
      </c>
    </row>
    <row r="18" spans="1:22" ht="75" customHeight="1" thickBot="1" x14ac:dyDescent="0.25">
      <c r="A18" s="21"/>
      <c r="B18" s="24" t="s">
        <v>49</v>
      </c>
      <c r="C18" s="88" t="s">
        <v>49</v>
      </c>
      <c r="D18" s="88"/>
      <c r="E18" s="88"/>
      <c r="F18" s="88"/>
      <c r="G18" s="88"/>
      <c r="H18" s="88"/>
      <c r="I18" s="88" t="s">
        <v>100</v>
      </c>
      <c r="J18" s="88"/>
      <c r="K18" s="88"/>
      <c r="L18" s="88" t="s">
        <v>101</v>
      </c>
      <c r="M18" s="88"/>
      <c r="N18" s="88"/>
      <c r="O18" s="88"/>
      <c r="P18" s="25" t="s">
        <v>42</v>
      </c>
      <c r="Q18" s="25" t="s">
        <v>61</v>
      </c>
      <c r="R18" s="25">
        <v>100</v>
      </c>
      <c r="S18" s="25">
        <v>100</v>
      </c>
      <c r="T18" s="25">
        <v>99.95</v>
      </c>
      <c r="U18" s="46">
        <f>99.95</f>
        <v>99.95</v>
      </c>
    </row>
    <row r="19" spans="1:22" ht="14.25" customHeight="1" thickTop="1" thickBot="1" x14ac:dyDescent="0.25">
      <c r="B19" s="4" t="s">
        <v>62</v>
      </c>
      <c r="C19" s="5"/>
      <c r="D19" s="5"/>
      <c r="E19" s="5"/>
      <c r="F19" s="5"/>
      <c r="G19" s="5"/>
      <c r="H19" s="6"/>
      <c r="I19" s="6"/>
      <c r="J19" s="6"/>
      <c r="K19" s="6"/>
      <c r="L19" s="6"/>
      <c r="M19" s="6"/>
      <c r="N19" s="6"/>
      <c r="O19" s="6"/>
      <c r="P19" s="6"/>
      <c r="Q19" s="6"/>
      <c r="R19" s="6"/>
      <c r="S19" s="6"/>
      <c r="T19" s="6"/>
      <c r="U19" s="7"/>
      <c r="V19" s="26"/>
    </row>
    <row r="20" spans="1:22" ht="26.25" customHeight="1" thickTop="1" x14ac:dyDescent="0.2">
      <c r="B20" s="27"/>
      <c r="C20" s="28"/>
      <c r="D20" s="28"/>
      <c r="E20" s="28"/>
      <c r="F20" s="28"/>
      <c r="G20" s="28"/>
      <c r="H20" s="29"/>
      <c r="I20" s="29"/>
      <c r="J20" s="29"/>
      <c r="K20" s="29"/>
      <c r="L20" s="29"/>
      <c r="M20" s="29"/>
      <c r="N20" s="29"/>
      <c r="O20" s="29"/>
      <c r="P20" s="29"/>
      <c r="Q20" s="29"/>
      <c r="R20" s="30"/>
      <c r="S20" s="31" t="s">
        <v>33</v>
      </c>
      <c r="T20" s="31" t="s">
        <v>63</v>
      </c>
      <c r="U20" s="18" t="s">
        <v>64</v>
      </c>
    </row>
    <row r="21" spans="1:22" ht="26.25" customHeight="1" thickBot="1" x14ac:dyDescent="0.25">
      <c r="B21" s="32"/>
      <c r="C21" s="33"/>
      <c r="D21" s="33"/>
      <c r="E21" s="33"/>
      <c r="F21" s="33"/>
      <c r="G21" s="33"/>
      <c r="H21" s="34"/>
      <c r="I21" s="34"/>
      <c r="J21" s="34"/>
      <c r="K21" s="34"/>
      <c r="L21" s="34"/>
      <c r="M21" s="34"/>
      <c r="N21" s="34"/>
      <c r="O21" s="34"/>
      <c r="P21" s="34"/>
      <c r="Q21" s="34"/>
      <c r="R21" s="34"/>
      <c r="S21" s="35" t="s">
        <v>65</v>
      </c>
      <c r="T21" s="36" t="s">
        <v>65</v>
      </c>
      <c r="U21" s="36" t="s">
        <v>66</v>
      </c>
    </row>
    <row r="22" spans="1:22" ht="13.5" customHeight="1" thickBot="1" x14ac:dyDescent="0.25">
      <c r="B22" s="95" t="s">
        <v>67</v>
      </c>
      <c r="C22" s="96"/>
      <c r="D22" s="96"/>
      <c r="E22" s="37"/>
      <c r="F22" s="37"/>
      <c r="G22" s="37"/>
      <c r="H22" s="38"/>
      <c r="I22" s="38"/>
      <c r="J22" s="38"/>
      <c r="K22" s="38"/>
      <c r="L22" s="38"/>
      <c r="M22" s="38"/>
      <c r="N22" s="38"/>
      <c r="O22" s="38"/>
      <c r="P22" s="39"/>
      <c r="Q22" s="39"/>
      <c r="R22" s="39"/>
      <c r="S22" s="47">
        <v>2345.2305540000002</v>
      </c>
      <c r="T22" s="47">
        <v>1345.5293332100005</v>
      </c>
      <c r="U22" s="48">
        <f>+IF(ISERR(T22/S22*100),"N/A",ROUND(T22/S22*100,1))</f>
        <v>57.4</v>
      </c>
    </row>
    <row r="23" spans="1:22" ht="13.5" customHeight="1" thickBot="1" x14ac:dyDescent="0.25">
      <c r="B23" s="97" t="s">
        <v>68</v>
      </c>
      <c r="C23" s="98"/>
      <c r="D23" s="98"/>
      <c r="E23" s="40"/>
      <c r="F23" s="40"/>
      <c r="G23" s="40"/>
      <c r="H23" s="41"/>
      <c r="I23" s="41"/>
      <c r="J23" s="41"/>
      <c r="K23" s="41"/>
      <c r="L23" s="41"/>
      <c r="M23" s="41"/>
      <c r="N23" s="41"/>
      <c r="O23" s="41"/>
      <c r="P23" s="42"/>
      <c r="Q23" s="42"/>
      <c r="R23" s="42"/>
      <c r="S23" s="47">
        <v>1345.5293332100005</v>
      </c>
      <c r="T23" s="47">
        <v>1345.5293332100005</v>
      </c>
      <c r="U23" s="48">
        <f>+IF(ISERR(T23/S23*100),"N/A",ROUND(T23/S23*100,1))</f>
        <v>100</v>
      </c>
    </row>
    <row r="24" spans="1:22" ht="14.85" customHeight="1" thickTop="1" thickBot="1" x14ac:dyDescent="0.25">
      <c r="B24" s="4" t="s">
        <v>69</v>
      </c>
      <c r="C24" s="5"/>
      <c r="D24" s="5"/>
      <c r="E24" s="5"/>
      <c r="F24" s="5"/>
      <c r="G24" s="5"/>
      <c r="H24" s="6"/>
      <c r="I24" s="6"/>
      <c r="J24" s="6"/>
      <c r="K24" s="6"/>
      <c r="L24" s="6"/>
      <c r="M24" s="6"/>
      <c r="N24" s="6"/>
      <c r="O24" s="6"/>
      <c r="P24" s="6"/>
      <c r="Q24" s="6"/>
      <c r="R24" s="6"/>
      <c r="S24" s="6"/>
      <c r="T24" s="6"/>
      <c r="U24" s="7"/>
    </row>
    <row r="25" spans="1:22" ht="44.25" customHeight="1" thickTop="1" x14ac:dyDescent="0.2">
      <c r="B25" s="99" t="s">
        <v>70</v>
      </c>
      <c r="C25" s="100"/>
      <c r="D25" s="100"/>
      <c r="E25" s="100"/>
      <c r="F25" s="100"/>
      <c r="G25" s="100"/>
      <c r="H25" s="100"/>
      <c r="I25" s="100"/>
      <c r="J25" s="100"/>
      <c r="K25" s="100"/>
      <c r="L25" s="100"/>
      <c r="M25" s="100"/>
      <c r="N25" s="100"/>
      <c r="O25" s="100"/>
      <c r="P25" s="100"/>
      <c r="Q25" s="100"/>
      <c r="R25" s="100"/>
      <c r="S25" s="100"/>
      <c r="T25" s="100"/>
      <c r="U25" s="101"/>
    </row>
    <row r="26" spans="1:22" ht="57.75" customHeight="1" x14ac:dyDescent="0.2">
      <c r="B26" s="89" t="s">
        <v>102</v>
      </c>
      <c r="C26" s="90"/>
      <c r="D26" s="90"/>
      <c r="E26" s="90"/>
      <c r="F26" s="90"/>
      <c r="G26" s="90"/>
      <c r="H26" s="90"/>
      <c r="I26" s="90"/>
      <c r="J26" s="90"/>
      <c r="K26" s="90"/>
      <c r="L26" s="90"/>
      <c r="M26" s="90"/>
      <c r="N26" s="90"/>
      <c r="O26" s="90"/>
      <c r="P26" s="90"/>
      <c r="Q26" s="90"/>
      <c r="R26" s="90"/>
      <c r="S26" s="90"/>
      <c r="T26" s="90"/>
      <c r="U26" s="91"/>
    </row>
    <row r="27" spans="1:22" ht="67.5" customHeight="1" x14ac:dyDescent="0.2">
      <c r="B27" s="89" t="s">
        <v>103</v>
      </c>
      <c r="C27" s="90"/>
      <c r="D27" s="90"/>
      <c r="E27" s="90"/>
      <c r="F27" s="90"/>
      <c r="G27" s="90"/>
      <c r="H27" s="90"/>
      <c r="I27" s="90"/>
      <c r="J27" s="90"/>
      <c r="K27" s="90"/>
      <c r="L27" s="90"/>
      <c r="M27" s="90"/>
      <c r="N27" s="90"/>
      <c r="O27" s="90"/>
      <c r="P27" s="90"/>
      <c r="Q27" s="90"/>
      <c r="R27" s="90"/>
      <c r="S27" s="90"/>
      <c r="T27" s="90"/>
      <c r="U27" s="91"/>
    </row>
    <row r="28" spans="1:22" ht="67.5" customHeight="1" x14ac:dyDescent="0.2">
      <c r="B28" s="89" t="s">
        <v>104</v>
      </c>
      <c r="C28" s="90"/>
      <c r="D28" s="90"/>
      <c r="E28" s="90"/>
      <c r="F28" s="90"/>
      <c r="G28" s="90"/>
      <c r="H28" s="90"/>
      <c r="I28" s="90"/>
      <c r="J28" s="90"/>
      <c r="K28" s="90"/>
      <c r="L28" s="90"/>
      <c r="M28" s="90"/>
      <c r="N28" s="90"/>
      <c r="O28" s="90"/>
      <c r="P28" s="90"/>
      <c r="Q28" s="90"/>
      <c r="R28" s="90"/>
      <c r="S28" s="90"/>
      <c r="T28" s="90"/>
      <c r="U28" s="91"/>
    </row>
    <row r="29" spans="1:22" ht="82.5" customHeight="1" x14ac:dyDescent="0.2">
      <c r="B29" s="89" t="s">
        <v>105</v>
      </c>
      <c r="C29" s="90"/>
      <c r="D29" s="90"/>
      <c r="E29" s="90"/>
      <c r="F29" s="90"/>
      <c r="G29" s="90"/>
      <c r="H29" s="90"/>
      <c r="I29" s="90"/>
      <c r="J29" s="90"/>
      <c r="K29" s="90"/>
      <c r="L29" s="90"/>
      <c r="M29" s="90"/>
      <c r="N29" s="90"/>
      <c r="O29" s="90"/>
      <c r="P29" s="90"/>
      <c r="Q29" s="90"/>
      <c r="R29" s="90"/>
      <c r="S29" s="90"/>
      <c r="T29" s="90"/>
      <c r="U29" s="91"/>
    </row>
    <row r="30" spans="1:22" ht="67.5" customHeight="1" x14ac:dyDescent="0.2">
      <c r="B30" s="89" t="s">
        <v>106</v>
      </c>
      <c r="C30" s="90"/>
      <c r="D30" s="90"/>
      <c r="E30" s="90"/>
      <c r="F30" s="90"/>
      <c r="G30" s="90"/>
      <c r="H30" s="90"/>
      <c r="I30" s="90"/>
      <c r="J30" s="90"/>
      <c r="K30" s="90"/>
      <c r="L30" s="90"/>
      <c r="M30" s="90"/>
      <c r="N30" s="90"/>
      <c r="O30" s="90"/>
      <c r="P30" s="90"/>
      <c r="Q30" s="90"/>
      <c r="R30" s="90"/>
      <c r="S30" s="90"/>
      <c r="T30" s="90"/>
      <c r="U30" s="91"/>
    </row>
    <row r="31" spans="1:22" ht="51.75" customHeight="1" x14ac:dyDescent="0.2">
      <c r="B31" s="89" t="s">
        <v>107</v>
      </c>
      <c r="C31" s="90"/>
      <c r="D31" s="90"/>
      <c r="E31" s="90"/>
      <c r="F31" s="90"/>
      <c r="G31" s="90"/>
      <c r="H31" s="90"/>
      <c r="I31" s="90"/>
      <c r="J31" s="90"/>
      <c r="K31" s="90"/>
      <c r="L31" s="90"/>
      <c r="M31" s="90"/>
      <c r="N31" s="90"/>
      <c r="O31" s="90"/>
      <c r="P31" s="90"/>
      <c r="Q31" s="90"/>
      <c r="R31" s="90"/>
      <c r="S31" s="90"/>
      <c r="T31" s="90"/>
      <c r="U31" s="91"/>
    </row>
    <row r="32" spans="1:22" ht="67.5" customHeight="1" x14ac:dyDescent="0.2">
      <c r="B32" s="89" t="s">
        <v>108</v>
      </c>
      <c r="C32" s="90"/>
      <c r="D32" s="90"/>
      <c r="E32" s="90"/>
      <c r="F32" s="90"/>
      <c r="G32" s="90"/>
      <c r="H32" s="90"/>
      <c r="I32" s="90"/>
      <c r="J32" s="90"/>
      <c r="K32" s="90"/>
      <c r="L32" s="90"/>
      <c r="M32" s="90"/>
      <c r="N32" s="90"/>
      <c r="O32" s="90"/>
      <c r="P32" s="90"/>
      <c r="Q32" s="90"/>
      <c r="R32" s="90"/>
      <c r="S32" s="90"/>
      <c r="T32" s="90"/>
      <c r="U32" s="91"/>
    </row>
    <row r="33" spans="2:21" ht="57" customHeight="1" thickBot="1" x14ac:dyDescent="0.25">
      <c r="B33" s="92" t="s">
        <v>109</v>
      </c>
      <c r="C33" s="93"/>
      <c r="D33" s="93"/>
      <c r="E33" s="93"/>
      <c r="F33" s="93"/>
      <c r="G33" s="93"/>
      <c r="H33" s="93"/>
      <c r="I33" s="93"/>
      <c r="J33" s="93"/>
      <c r="K33" s="93"/>
      <c r="L33" s="93"/>
      <c r="M33" s="93"/>
      <c r="N33" s="93"/>
      <c r="O33" s="93"/>
      <c r="P33" s="93"/>
      <c r="Q33" s="93"/>
      <c r="R33" s="93"/>
      <c r="S33" s="93"/>
      <c r="T33" s="93"/>
      <c r="U33" s="94"/>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1"/>
  <sheetViews>
    <sheetView view="pageBreakPreview" topLeftCell="P19" zoomScale="80" zoomScaleNormal="80" zoomScaleSheetLayoutView="80" workbookViewId="0">
      <selection activeCell="W29" sqref="W29"/>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6.25" customHeight="1" thickTop="1" x14ac:dyDescent="0.2">
      <c r="B4" s="8" t="s">
        <v>6</v>
      </c>
      <c r="C4" s="9" t="s">
        <v>110</v>
      </c>
      <c r="D4" s="57" t="s">
        <v>111</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63.75" customHeight="1" thickBot="1" x14ac:dyDescent="0.25">
      <c r="B6" s="13" t="s">
        <v>16</v>
      </c>
      <c r="C6" s="60" t="s">
        <v>17</v>
      </c>
      <c r="D6" s="60"/>
      <c r="E6" s="60"/>
      <c r="F6" s="60"/>
      <c r="G6" s="60"/>
      <c r="H6" s="14"/>
      <c r="I6" s="14"/>
      <c r="J6" s="14" t="s">
        <v>18</v>
      </c>
      <c r="K6" s="60" t="s">
        <v>78</v>
      </c>
      <c r="L6" s="60"/>
      <c r="M6" s="60"/>
      <c r="N6" s="15"/>
      <c r="O6" s="16" t="s">
        <v>20</v>
      </c>
      <c r="P6" s="60" t="s">
        <v>112</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39</v>
      </c>
      <c r="D11" s="87"/>
      <c r="E11" s="87"/>
      <c r="F11" s="87"/>
      <c r="G11" s="87"/>
      <c r="H11" s="87"/>
      <c r="I11" s="87" t="s">
        <v>40</v>
      </c>
      <c r="J11" s="87"/>
      <c r="K11" s="87"/>
      <c r="L11" s="87" t="s">
        <v>113</v>
      </c>
      <c r="M11" s="87"/>
      <c r="N11" s="87"/>
      <c r="O11" s="87"/>
      <c r="P11" s="23" t="s">
        <v>42</v>
      </c>
      <c r="Q11" s="23" t="s">
        <v>43</v>
      </c>
      <c r="R11" s="23">
        <v>42.13</v>
      </c>
      <c r="S11" s="23">
        <v>42.13</v>
      </c>
      <c r="T11" s="23">
        <v>0</v>
      </c>
      <c r="U11" s="45">
        <f>0</f>
        <v>0</v>
      </c>
    </row>
    <row r="12" spans="1:21" ht="75" customHeight="1" thickTop="1" x14ac:dyDescent="0.2">
      <c r="A12" s="21"/>
      <c r="B12" s="22" t="s">
        <v>44</v>
      </c>
      <c r="C12" s="87" t="s">
        <v>114</v>
      </c>
      <c r="D12" s="87"/>
      <c r="E12" s="87"/>
      <c r="F12" s="87"/>
      <c r="G12" s="87"/>
      <c r="H12" s="87"/>
      <c r="I12" s="87" t="s">
        <v>115</v>
      </c>
      <c r="J12" s="87"/>
      <c r="K12" s="87"/>
      <c r="L12" s="87" t="s">
        <v>51</v>
      </c>
      <c r="M12" s="87"/>
      <c r="N12" s="87"/>
      <c r="O12" s="87"/>
      <c r="P12" s="23" t="s">
        <v>42</v>
      </c>
      <c r="Q12" s="23" t="s">
        <v>48</v>
      </c>
      <c r="R12" s="23">
        <v>52.38</v>
      </c>
      <c r="S12" s="23">
        <v>52.38</v>
      </c>
      <c r="T12" s="23">
        <v>65.08</v>
      </c>
      <c r="U12" s="45">
        <f>124.24</f>
        <v>124.24</v>
      </c>
    </row>
    <row r="13" spans="1:21" ht="75" customHeight="1" thickBot="1" x14ac:dyDescent="0.25">
      <c r="A13" s="21"/>
      <c r="B13" s="24" t="s">
        <v>49</v>
      </c>
      <c r="C13" s="88" t="s">
        <v>49</v>
      </c>
      <c r="D13" s="88"/>
      <c r="E13" s="88"/>
      <c r="F13" s="88"/>
      <c r="G13" s="88"/>
      <c r="H13" s="88"/>
      <c r="I13" s="88" t="s">
        <v>116</v>
      </c>
      <c r="J13" s="88"/>
      <c r="K13" s="88"/>
      <c r="L13" s="88" t="s">
        <v>117</v>
      </c>
      <c r="M13" s="88"/>
      <c r="N13" s="88"/>
      <c r="O13" s="88"/>
      <c r="P13" s="25" t="s">
        <v>42</v>
      </c>
      <c r="Q13" s="25" t="s">
        <v>48</v>
      </c>
      <c r="R13" s="25">
        <v>73.680000000000007</v>
      </c>
      <c r="S13" s="25">
        <v>73.680000000000007</v>
      </c>
      <c r="T13" s="25">
        <v>100</v>
      </c>
      <c r="U13" s="46">
        <f>135.72</f>
        <v>135.72</v>
      </c>
    </row>
    <row r="14" spans="1:21" ht="121.5" customHeight="1" thickTop="1" x14ac:dyDescent="0.2">
      <c r="A14" s="21"/>
      <c r="B14" s="22" t="s">
        <v>52</v>
      </c>
      <c r="C14" s="87" t="s">
        <v>118</v>
      </c>
      <c r="D14" s="87"/>
      <c r="E14" s="87"/>
      <c r="F14" s="87"/>
      <c r="G14" s="87"/>
      <c r="H14" s="87"/>
      <c r="I14" s="87" t="s">
        <v>119</v>
      </c>
      <c r="J14" s="87"/>
      <c r="K14" s="87"/>
      <c r="L14" s="87" t="s">
        <v>120</v>
      </c>
      <c r="M14" s="87"/>
      <c r="N14" s="87"/>
      <c r="O14" s="87"/>
      <c r="P14" s="23" t="s">
        <v>42</v>
      </c>
      <c r="Q14" s="23" t="s">
        <v>56</v>
      </c>
      <c r="R14" s="23">
        <v>70</v>
      </c>
      <c r="S14" s="23">
        <v>70</v>
      </c>
      <c r="T14" s="23">
        <v>74.59</v>
      </c>
      <c r="U14" s="45">
        <f>106.55</f>
        <v>106.55</v>
      </c>
    </row>
    <row r="15" spans="1:21" ht="75" customHeight="1" thickBot="1" x14ac:dyDescent="0.25">
      <c r="A15" s="21"/>
      <c r="B15" s="24" t="s">
        <v>49</v>
      </c>
      <c r="C15" s="88" t="s">
        <v>121</v>
      </c>
      <c r="D15" s="88"/>
      <c r="E15" s="88"/>
      <c r="F15" s="88"/>
      <c r="G15" s="88"/>
      <c r="H15" s="88"/>
      <c r="I15" s="88" t="s">
        <v>122</v>
      </c>
      <c r="J15" s="88"/>
      <c r="K15" s="88"/>
      <c r="L15" s="88" t="s">
        <v>123</v>
      </c>
      <c r="M15" s="88"/>
      <c r="N15" s="88"/>
      <c r="O15" s="88"/>
      <c r="P15" s="25" t="s">
        <v>42</v>
      </c>
      <c r="Q15" s="25" t="s">
        <v>56</v>
      </c>
      <c r="R15" s="25">
        <v>100</v>
      </c>
      <c r="S15" s="25">
        <v>85.24</v>
      </c>
      <c r="T15" s="25">
        <v>83.73</v>
      </c>
      <c r="U15" s="46">
        <f>98.22</f>
        <v>98.22</v>
      </c>
    </row>
    <row r="16" spans="1:21" ht="65.25" customHeight="1" thickTop="1" x14ac:dyDescent="0.2">
      <c r="A16" s="21"/>
      <c r="B16" s="22" t="s">
        <v>57</v>
      </c>
      <c r="C16" s="87" t="s">
        <v>124</v>
      </c>
      <c r="D16" s="87"/>
      <c r="E16" s="87"/>
      <c r="F16" s="87"/>
      <c r="G16" s="87"/>
      <c r="H16" s="87"/>
      <c r="I16" s="87" t="s">
        <v>125</v>
      </c>
      <c r="J16" s="87"/>
      <c r="K16" s="87"/>
      <c r="L16" s="87" t="s">
        <v>126</v>
      </c>
      <c r="M16" s="87"/>
      <c r="N16" s="87"/>
      <c r="O16" s="87"/>
      <c r="P16" s="23" t="s">
        <v>42</v>
      </c>
      <c r="Q16" s="23" t="s">
        <v>61</v>
      </c>
      <c r="R16" s="23">
        <v>0</v>
      </c>
      <c r="S16" s="23">
        <v>0</v>
      </c>
      <c r="T16" s="23">
        <v>26.67</v>
      </c>
      <c r="U16" s="45">
        <f>0</f>
        <v>0</v>
      </c>
    </row>
    <row r="17" spans="1:22" ht="75" customHeight="1" thickBot="1" x14ac:dyDescent="0.25">
      <c r="A17" s="21"/>
      <c r="B17" s="24" t="s">
        <v>49</v>
      </c>
      <c r="C17" s="88" t="s">
        <v>127</v>
      </c>
      <c r="D17" s="88"/>
      <c r="E17" s="88"/>
      <c r="F17" s="88"/>
      <c r="G17" s="88"/>
      <c r="H17" s="88"/>
      <c r="I17" s="88" t="s">
        <v>128</v>
      </c>
      <c r="J17" s="88"/>
      <c r="K17" s="88"/>
      <c r="L17" s="88" t="s">
        <v>129</v>
      </c>
      <c r="M17" s="88"/>
      <c r="N17" s="88"/>
      <c r="O17" s="88"/>
      <c r="P17" s="25" t="s">
        <v>42</v>
      </c>
      <c r="Q17" s="25" t="s">
        <v>61</v>
      </c>
      <c r="R17" s="25">
        <v>100</v>
      </c>
      <c r="S17" s="25">
        <v>100</v>
      </c>
      <c r="T17" s="25">
        <v>0</v>
      </c>
      <c r="U17" s="46">
        <f>0</f>
        <v>0</v>
      </c>
    </row>
    <row r="18" spans="1:22" ht="14.25" customHeight="1" thickTop="1" thickBot="1" x14ac:dyDescent="0.25">
      <c r="B18" s="4" t="s">
        <v>62</v>
      </c>
      <c r="C18" s="5"/>
      <c r="D18" s="5"/>
      <c r="E18" s="5"/>
      <c r="F18" s="5"/>
      <c r="G18" s="5"/>
      <c r="H18" s="6"/>
      <c r="I18" s="6"/>
      <c r="J18" s="6"/>
      <c r="K18" s="6"/>
      <c r="L18" s="6"/>
      <c r="M18" s="6"/>
      <c r="N18" s="6"/>
      <c r="O18" s="6"/>
      <c r="P18" s="6"/>
      <c r="Q18" s="6"/>
      <c r="R18" s="6"/>
      <c r="S18" s="6"/>
      <c r="T18" s="6"/>
      <c r="U18" s="7"/>
      <c r="V18" s="26"/>
    </row>
    <row r="19" spans="1:22" ht="26.25" customHeight="1" thickTop="1" x14ac:dyDescent="0.2">
      <c r="B19" s="27"/>
      <c r="C19" s="28"/>
      <c r="D19" s="28"/>
      <c r="E19" s="28"/>
      <c r="F19" s="28"/>
      <c r="G19" s="28"/>
      <c r="H19" s="29"/>
      <c r="I19" s="29"/>
      <c r="J19" s="29"/>
      <c r="K19" s="29"/>
      <c r="L19" s="29"/>
      <c r="M19" s="29"/>
      <c r="N19" s="29"/>
      <c r="O19" s="29"/>
      <c r="P19" s="29"/>
      <c r="Q19" s="29"/>
      <c r="R19" s="30"/>
      <c r="S19" s="31" t="s">
        <v>33</v>
      </c>
      <c r="T19" s="31" t="s">
        <v>63</v>
      </c>
      <c r="U19" s="18" t="s">
        <v>64</v>
      </c>
    </row>
    <row r="20" spans="1:22" ht="26.25" customHeight="1" thickBot="1" x14ac:dyDescent="0.25">
      <c r="B20" s="32"/>
      <c r="C20" s="33"/>
      <c r="D20" s="33"/>
      <c r="E20" s="33"/>
      <c r="F20" s="33"/>
      <c r="G20" s="33"/>
      <c r="H20" s="34"/>
      <c r="I20" s="34"/>
      <c r="J20" s="34"/>
      <c r="K20" s="34"/>
      <c r="L20" s="34"/>
      <c r="M20" s="34"/>
      <c r="N20" s="34"/>
      <c r="O20" s="34"/>
      <c r="P20" s="34"/>
      <c r="Q20" s="34"/>
      <c r="R20" s="34"/>
      <c r="S20" s="35" t="s">
        <v>65</v>
      </c>
      <c r="T20" s="36" t="s">
        <v>65</v>
      </c>
      <c r="U20" s="36" t="s">
        <v>66</v>
      </c>
    </row>
    <row r="21" spans="1:22" ht="13.5" customHeight="1" thickBot="1" x14ac:dyDescent="0.25">
      <c r="B21" s="95" t="s">
        <v>67</v>
      </c>
      <c r="C21" s="96"/>
      <c r="D21" s="96"/>
      <c r="E21" s="37"/>
      <c r="F21" s="37"/>
      <c r="G21" s="37"/>
      <c r="H21" s="38"/>
      <c r="I21" s="38"/>
      <c r="J21" s="38"/>
      <c r="K21" s="38"/>
      <c r="L21" s="38"/>
      <c r="M21" s="38"/>
      <c r="N21" s="38"/>
      <c r="O21" s="38"/>
      <c r="P21" s="39"/>
      <c r="Q21" s="39"/>
      <c r="R21" s="39"/>
      <c r="S21" s="49">
        <v>3138.6517439999998</v>
      </c>
      <c r="T21" s="49">
        <v>4037.3727353099998</v>
      </c>
      <c r="U21" s="48">
        <f>+IF(ISERR(T21/S21*100),"N/A",ROUND(T21/S21*100,1))</f>
        <v>128.6</v>
      </c>
    </row>
    <row r="22" spans="1:22" ht="13.5" customHeight="1" thickBot="1" x14ac:dyDescent="0.25">
      <c r="B22" s="97" t="s">
        <v>68</v>
      </c>
      <c r="C22" s="98"/>
      <c r="D22" s="98"/>
      <c r="E22" s="40"/>
      <c r="F22" s="40"/>
      <c r="G22" s="40"/>
      <c r="H22" s="41"/>
      <c r="I22" s="41"/>
      <c r="J22" s="41"/>
      <c r="K22" s="41"/>
      <c r="L22" s="41"/>
      <c r="M22" s="41"/>
      <c r="N22" s="41"/>
      <c r="O22" s="41"/>
      <c r="P22" s="42"/>
      <c r="Q22" s="42"/>
      <c r="R22" s="42"/>
      <c r="S22" s="49">
        <v>4037.3727353100003</v>
      </c>
      <c r="T22" s="49">
        <v>4037.3727353099998</v>
      </c>
      <c r="U22" s="48">
        <f>+IF(ISERR(T22/S22*100),"N/A",ROUND(T22/S22*100,1))</f>
        <v>100</v>
      </c>
    </row>
    <row r="23" spans="1:22" ht="14.85" customHeight="1" thickTop="1" thickBot="1" x14ac:dyDescent="0.25">
      <c r="B23" s="4" t="s">
        <v>69</v>
      </c>
      <c r="C23" s="5"/>
      <c r="D23" s="5"/>
      <c r="E23" s="5"/>
      <c r="F23" s="5"/>
      <c r="G23" s="5"/>
      <c r="H23" s="6"/>
      <c r="I23" s="6"/>
      <c r="J23" s="6"/>
      <c r="K23" s="6"/>
      <c r="L23" s="6"/>
      <c r="M23" s="6"/>
      <c r="N23" s="6"/>
      <c r="O23" s="6"/>
      <c r="P23" s="6"/>
      <c r="Q23" s="6"/>
      <c r="R23" s="6"/>
      <c r="S23" s="6"/>
      <c r="T23" s="6"/>
      <c r="U23" s="7"/>
    </row>
    <row r="24" spans="1:22" ht="44.25" customHeight="1" thickTop="1" x14ac:dyDescent="0.2">
      <c r="B24" s="99" t="s">
        <v>70</v>
      </c>
      <c r="C24" s="100"/>
      <c r="D24" s="100"/>
      <c r="E24" s="100"/>
      <c r="F24" s="100"/>
      <c r="G24" s="100"/>
      <c r="H24" s="100"/>
      <c r="I24" s="100"/>
      <c r="J24" s="100"/>
      <c r="K24" s="100"/>
      <c r="L24" s="100"/>
      <c r="M24" s="100"/>
      <c r="N24" s="100"/>
      <c r="O24" s="100"/>
      <c r="P24" s="100"/>
      <c r="Q24" s="100"/>
      <c r="R24" s="100"/>
      <c r="S24" s="100"/>
      <c r="T24" s="100"/>
      <c r="U24" s="101"/>
    </row>
    <row r="25" spans="1:22" ht="75.75" customHeight="1" x14ac:dyDescent="0.2">
      <c r="B25" s="89" t="s">
        <v>130</v>
      </c>
      <c r="C25" s="90"/>
      <c r="D25" s="90"/>
      <c r="E25" s="90"/>
      <c r="F25" s="90"/>
      <c r="G25" s="90"/>
      <c r="H25" s="90"/>
      <c r="I25" s="90"/>
      <c r="J25" s="90"/>
      <c r="K25" s="90"/>
      <c r="L25" s="90"/>
      <c r="M25" s="90"/>
      <c r="N25" s="90"/>
      <c r="O25" s="90"/>
      <c r="P25" s="90"/>
      <c r="Q25" s="90"/>
      <c r="R25" s="90"/>
      <c r="S25" s="90"/>
      <c r="T25" s="90"/>
      <c r="U25" s="91"/>
    </row>
    <row r="26" spans="1:22" ht="56.25" customHeight="1" x14ac:dyDescent="0.2">
      <c r="B26" s="89" t="s">
        <v>131</v>
      </c>
      <c r="C26" s="90"/>
      <c r="D26" s="90"/>
      <c r="E26" s="90"/>
      <c r="F26" s="90"/>
      <c r="G26" s="90"/>
      <c r="H26" s="90"/>
      <c r="I26" s="90"/>
      <c r="J26" s="90"/>
      <c r="K26" s="90"/>
      <c r="L26" s="90"/>
      <c r="M26" s="90"/>
      <c r="N26" s="90"/>
      <c r="O26" s="90"/>
      <c r="P26" s="90"/>
      <c r="Q26" s="90"/>
      <c r="R26" s="90"/>
      <c r="S26" s="90"/>
      <c r="T26" s="90"/>
      <c r="U26" s="91"/>
    </row>
    <row r="27" spans="1:22" ht="93.75" customHeight="1" x14ac:dyDescent="0.2">
      <c r="B27" s="89" t="s">
        <v>132</v>
      </c>
      <c r="C27" s="90"/>
      <c r="D27" s="90"/>
      <c r="E27" s="90"/>
      <c r="F27" s="90"/>
      <c r="G27" s="90"/>
      <c r="H27" s="90"/>
      <c r="I27" s="90"/>
      <c r="J27" s="90"/>
      <c r="K27" s="90"/>
      <c r="L27" s="90"/>
      <c r="M27" s="90"/>
      <c r="N27" s="90"/>
      <c r="O27" s="90"/>
      <c r="P27" s="90"/>
      <c r="Q27" s="90"/>
      <c r="R27" s="90"/>
      <c r="S27" s="90"/>
      <c r="T27" s="90"/>
      <c r="U27" s="91"/>
    </row>
    <row r="28" spans="1:22" ht="63.75" customHeight="1" x14ac:dyDescent="0.2">
      <c r="B28" s="89" t="s">
        <v>133</v>
      </c>
      <c r="C28" s="90"/>
      <c r="D28" s="90"/>
      <c r="E28" s="90"/>
      <c r="F28" s="90"/>
      <c r="G28" s="90"/>
      <c r="H28" s="90"/>
      <c r="I28" s="90"/>
      <c r="J28" s="90"/>
      <c r="K28" s="90"/>
      <c r="L28" s="90"/>
      <c r="M28" s="90"/>
      <c r="N28" s="90"/>
      <c r="O28" s="90"/>
      <c r="P28" s="90"/>
      <c r="Q28" s="90"/>
      <c r="R28" s="90"/>
      <c r="S28" s="90"/>
      <c r="T28" s="90"/>
      <c r="U28" s="91"/>
    </row>
    <row r="29" spans="1:22" ht="63.75" customHeight="1" x14ac:dyDescent="0.2">
      <c r="B29" s="89" t="s">
        <v>134</v>
      </c>
      <c r="C29" s="90"/>
      <c r="D29" s="90"/>
      <c r="E29" s="90"/>
      <c r="F29" s="90"/>
      <c r="G29" s="90"/>
      <c r="H29" s="90"/>
      <c r="I29" s="90"/>
      <c r="J29" s="90"/>
      <c r="K29" s="90"/>
      <c r="L29" s="90"/>
      <c r="M29" s="90"/>
      <c r="N29" s="90"/>
      <c r="O29" s="90"/>
      <c r="P29" s="90"/>
      <c r="Q29" s="90"/>
      <c r="R29" s="90"/>
      <c r="S29" s="90"/>
      <c r="T29" s="90"/>
      <c r="U29" s="91"/>
    </row>
    <row r="30" spans="1:22" ht="63.75" customHeight="1" x14ac:dyDescent="0.2">
      <c r="B30" s="89" t="s">
        <v>135</v>
      </c>
      <c r="C30" s="90"/>
      <c r="D30" s="90"/>
      <c r="E30" s="90"/>
      <c r="F30" s="90"/>
      <c r="G30" s="90"/>
      <c r="H30" s="90"/>
      <c r="I30" s="90"/>
      <c r="J30" s="90"/>
      <c r="K30" s="90"/>
      <c r="L30" s="90"/>
      <c r="M30" s="90"/>
      <c r="N30" s="90"/>
      <c r="O30" s="90"/>
      <c r="P30" s="90"/>
      <c r="Q30" s="90"/>
      <c r="R30" s="90"/>
      <c r="S30" s="90"/>
      <c r="T30" s="90"/>
      <c r="U30" s="91"/>
    </row>
    <row r="31" spans="1:22" ht="63.75" customHeight="1" thickBot="1" x14ac:dyDescent="0.25">
      <c r="B31" s="92" t="s">
        <v>136</v>
      </c>
      <c r="C31" s="93"/>
      <c r="D31" s="93"/>
      <c r="E31" s="93"/>
      <c r="F31" s="93"/>
      <c r="G31" s="93"/>
      <c r="H31" s="93"/>
      <c r="I31" s="93"/>
      <c r="J31" s="93"/>
      <c r="K31" s="93"/>
      <c r="L31" s="93"/>
      <c r="M31" s="93"/>
      <c r="N31" s="93"/>
      <c r="O31" s="93"/>
      <c r="P31" s="93"/>
      <c r="Q31" s="93"/>
      <c r="R31" s="93"/>
      <c r="S31" s="93"/>
      <c r="T31" s="93"/>
      <c r="U31" s="94"/>
    </row>
  </sheetData>
  <mergeCells count="52">
    <mergeCell ref="B28:U28"/>
    <mergeCell ref="B29:U29"/>
    <mergeCell ref="B30:U30"/>
    <mergeCell ref="B31:U31"/>
    <mergeCell ref="B21:D21"/>
    <mergeCell ref="B22:D22"/>
    <mergeCell ref="B24:U24"/>
    <mergeCell ref="B25:U25"/>
    <mergeCell ref="B26:U26"/>
    <mergeCell ref="B27:U27"/>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45"/>
  <sheetViews>
    <sheetView view="pageBreakPreview" topLeftCell="L25" zoomScale="80" zoomScaleNormal="80" zoomScaleSheetLayoutView="80" workbookViewId="0">
      <selection activeCell="T28" sqref="T28:T29"/>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69.75" customHeight="1" thickTop="1" x14ac:dyDescent="0.2">
      <c r="B4" s="8" t="s">
        <v>6</v>
      </c>
      <c r="C4" s="9" t="s">
        <v>137</v>
      </c>
      <c r="D4" s="57" t="s">
        <v>138</v>
      </c>
      <c r="E4" s="57"/>
      <c r="F4" s="57"/>
      <c r="G4" s="57"/>
      <c r="H4" s="57"/>
      <c r="I4" s="10"/>
      <c r="J4" s="11" t="s">
        <v>9</v>
      </c>
      <c r="K4" s="12" t="s">
        <v>10</v>
      </c>
      <c r="L4" s="58" t="s">
        <v>11</v>
      </c>
      <c r="M4" s="58"/>
      <c r="N4" s="58"/>
      <c r="O4" s="58"/>
      <c r="P4" s="11" t="s">
        <v>12</v>
      </c>
      <c r="Q4" s="58" t="s">
        <v>139</v>
      </c>
      <c r="R4" s="58"/>
      <c r="S4" s="11" t="s">
        <v>14</v>
      </c>
      <c r="T4" s="58" t="s">
        <v>140</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53.25" customHeight="1" thickBot="1" x14ac:dyDescent="0.25">
      <c r="B6" s="13" t="s">
        <v>16</v>
      </c>
      <c r="C6" s="60" t="s">
        <v>17</v>
      </c>
      <c r="D6" s="60"/>
      <c r="E6" s="60"/>
      <c r="F6" s="60"/>
      <c r="G6" s="60"/>
      <c r="H6" s="14"/>
      <c r="I6" s="14"/>
      <c r="J6" s="14" t="s">
        <v>18</v>
      </c>
      <c r="K6" s="60" t="s">
        <v>78</v>
      </c>
      <c r="L6" s="60"/>
      <c r="M6" s="60"/>
      <c r="N6" s="15"/>
      <c r="O6" s="16" t="s">
        <v>20</v>
      </c>
      <c r="P6" s="60" t="s">
        <v>141</v>
      </c>
      <c r="Q6" s="60"/>
      <c r="R6" s="17"/>
      <c r="S6" s="16" t="s">
        <v>22</v>
      </c>
      <c r="T6" s="60" t="s">
        <v>142</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57.5" customHeight="1" thickTop="1" thickBot="1" x14ac:dyDescent="0.25">
      <c r="A11" s="21"/>
      <c r="B11" s="22" t="s">
        <v>38</v>
      </c>
      <c r="C11" s="87" t="s">
        <v>143</v>
      </c>
      <c r="D11" s="87"/>
      <c r="E11" s="87"/>
      <c r="F11" s="87"/>
      <c r="G11" s="87"/>
      <c r="H11" s="87"/>
      <c r="I11" s="87" t="s">
        <v>144</v>
      </c>
      <c r="J11" s="87"/>
      <c r="K11" s="87"/>
      <c r="L11" s="87" t="s">
        <v>145</v>
      </c>
      <c r="M11" s="87"/>
      <c r="N11" s="87"/>
      <c r="O11" s="87"/>
      <c r="P11" s="23" t="s">
        <v>42</v>
      </c>
      <c r="Q11" s="23" t="s">
        <v>43</v>
      </c>
      <c r="R11" s="23">
        <v>2.33</v>
      </c>
      <c r="S11" s="23">
        <v>2.33</v>
      </c>
      <c r="T11" s="23">
        <v>4.9800000000000004</v>
      </c>
      <c r="U11" s="45">
        <f>213.73</f>
        <v>213.73</v>
      </c>
    </row>
    <row r="12" spans="1:21" ht="157.5" customHeight="1" thickTop="1" thickBot="1" x14ac:dyDescent="0.25">
      <c r="A12" s="21"/>
      <c r="B12" s="22" t="s">
        <v>44</v>
      </c>
      <c r="C12" s="87" t="s">
        <v>146</v>
      </c>
      <c r="D12" s="87"/>
      <c r="E12" s="87"/>
      <c r="F12" s="87"/>
      <c r="G12" s="87"/>
      <c r="H12" s="87"/>
      <c r="I12" s="87" t="s">
        <v>147</v>
      </c>
      <c r="J12" s="87"/>
      <c r="K12" s="87"/>
      <c r="L12" s="87" t="s">
        <v>148</v>
      </c>
      <c r="M12" s="87"/>
      <c r="N12" s="87"/>
      <c r="O12" s="87"/>
      <c r="P12" s="23" t="s">
        <v>42</v>
      </c>
      <c r="Q12" s="23" t="s">
        <v>56</v>
      </c>
      <c r="R12" s="23">
        <v>55.19</v>
      </c>
      <c r="S12" s="23">
        <v>55.19</v>
      </c>
      <c r="T12" s="23">
        <v>54.36</v>
      </c>
      <c r="U12" s="45">
        <f>98.5</f>
        <v>98.5</v>
      </c>
    </row>
    <row r="13" spans="1:21" ht="157.5" customHeight="1" thickTop="1" x14ac:dyDescent="0.2">
      <c r="A13" s="21"/>
      <c r="B13" s="22" t="s">
        <v>52</v>
      </c>
      <c r="C13" s="87" t="s">
        <v>149</v>
      </c>
      <c r="D13" s="87"/>
      <c r="E13" s="87"/>
      <c r="F13" s="87"/>
      <c r="G13" s="87"/>
      <c r="H13" s="87"/>
      <c r="I13" s="87" t="s">
        <v>150</v>
      </c>
      <c r="J13" s="87"/>
      <c r="K13" s="87"/>
      <c r="L13" s="87" t="s">
        <v>151</v>
      </c>
      <c r="M13" s="87"/>
      <c r="N13" s="87"/>
      <c r="O13" s="87"/>
      <c r="P13" s="23" t="s">
        <v>42</v>
      </c>
      <c r="Q13" s="23" t="s">
        <v>61</v>
      </c>
      <c r="R13" s="23">
        <v>8.1</v>
      </c>
      <c r="S13" s="23">
        <v>9.11</v>
      </c>
      <c r="T13" s="23">
        <v>11.21</v>
      </c>
      <c r="U13" s="45">
        <f>123.05</f>
        <v>123.05</v>
      </c>
    </row>
    <row r="14" spans="1:21" ht="128.25" customHeight="1" x14ac:dyDescent="0.2">
      <c r="A14" s="21"/>
      <c r="B14" s="24" t="s">
        <v>49</v>
      </c>
      <c r="C14" s="88" t="s">
        <v>152</v>
      </c>
      <c r="D14" s="88"/>
      <c r="E14" s="88"/>
      <c r="F14" s="88"/>
      <c r="G14" s="88"/>
      <c r="H14" s="88"/>
      <c r="I14" s="88" t="s">
        <v>153</v>
      </c>
      <c r="J14" s="88"/>
      <c r="K14" s="88"/>
      <c r="L14" s="88" t="s">
        <v>154</v>
      </c>
      <c r="M14" s="88"/>
      <c r="N14" s="88"/>
      <c r="O14" s="88"/>
      <c r="P14" s="25" t="s">
        <v>42</v>
      </c>
      <c r="Q14" s="25" t="s">
        <v>61</v>
      </c>
      <c r="R14" s="25">
        <v>45.3</v>
      </c>
      <c r="S14" s="25">
        <v>46.69</v>
      </c>
      <c r="T14" s="25">
        <v>45.99</v>
      </c>
      <c r="U14" s="46">
        <f>98.5</f>
        <v>98.5</v>
      </c>
    </row>
    <row r="15" spans="1:21" ht="129" customHeight="1" x14ac:dyDescent="0.2">
      <c r="A15" s="21"/>
      <c r="B15" s="24" t="s">
        <v>49</v>
      </c>
      <c r="C15" s="88" t="s">
        <v>155</v>
      </c>
      <c r="D15" s="88"/>
      <c r="E15" s="88"/>
      <c r="F15" s="88"/>
      <c r="G15" s="88"/>
      <c r="H15" s="88"/>
      <c r="I15" s="88" t="s">
        <v>156</v>
      </c>
      <c r="J15" s="88"/>
      <c r="K15" s="88"/>
      <c r="L15" s="88" t="s">
        <v>157</v>
      </c>
      <c r="M15" s="88"/>
      <c r="N15" s="88"/>
      <c r="O15" s="88"/>
      <c r="P15" s="25" t="s">
        <v>42</v>
      </c>
      <c r="Q15" s="25" t="s">
        <v>61</v>
      </c>
      <c r="R15" s="25">
        <v>50.1</v>
      </c>
      <c r="S15" s="25">
        <v>54</v>
      </c>
      <c r="T15" s="25">
        <v>48.73</v>
      </c>
      <c r="U15" s="46">
        <f>90.24</f>
        <v>90.24</v>
      </c>
    </row>
    <row r="16" spans="1:21" ht="157.5" customHeight="1" x14ac:dyDescent="0.2">
      <c r="A16" s="21"/>
      <c r="B16" s="24" t="s">
        <v>49</v>
      </c>
      <c r="C16" s="88" t="s">
        <v>158</v>
      </c>
      <c r="D16" s="88"/>
      <c r="E16" s="88"/>
      <c r="F16" s="88"/>
      <c r="G16" s="88"/>
      <c r="H16" s="88"/>
      <c r="I16" s="88" t="s">
        <v>159</v>
      </c>
      <c r="J16" s="88"/>
      <c r="K16" s="88"/>
      <c r="L16" s="88" t="s">
        <v>160</v>
      </c>
      <c r="M16" s="88"/>
      <c r="N16" s="88"/>
      <c r="O16" s="88"/>
      <c r="P16" s="25" t="s">
        <v>42</v>
      </c>
      <c r="Q16" s="25" t="s">
        <v>61</v>
      </c>
      <c r="R16" s="25">
        <v>51.08</v>
      </c>
      <c r="S16" s="25">
        <v>53.5</v>
      </c>
      <c r="T16" s="25">
        <v>53.59</v>
      </c>
      <c r="U16" s="46">
        <f>100</f>
        <v>100</v>
      </c>
    </row>
    <row r="17" spans="1:22" ht="123" customHeight="1" x14ac:dyDescent="0.2">
      <c r="A17" s="21"/>
      <c r="B17" s="24" t="s">
        <v>49</v>
      </c>
      <c r="C17" s="88" t="s">
        <v>49</v>
      </c>
      <c r="D17" s="88"/>
      <c r="E17" s="88"/>
      <c r="F17" s="88"/>
      <c r="G17" s="88"/>
      <c r="H17" s="88"/>
      <c r="I17" s="88" t="s">
        <v>161</v>
      </c>
      <c r="J17" s="88"/>
      <c r="K17" s="88"/>
      <c r="L17" s="88" t="s">
        <v>162</v>
      </c>
      <c r="M17" s="88"/>
      <c r="N17" s="88"/>
      <c r="O17" s="88"/>
      <c r="P17" s="25" t="s">
        <v>42</v>
      </c>
      <c r="Q17" s="25" t="s">
        <v>61</v>
      </c>
      <c r="R17" s="25">
        <v>46</v>
      </c>
      <c r="S17" s="25">
        <v>44.59</v>
      </c>
      <c r="T17" s="25">
        <v>44.15</v>
      </c>
      <c r="U17" s="46">
        <f>99</f>
        <v>99</v>
      </c>
    </row>
    <row r="18" spans="1:22" ht="117.75" customHeight="1" thickBot="1" x14ac:dyDescent="0.25">
      <c r="A18" s="21"/>
      <c r="B18" s="24" t="s">
        <v>49</v>
      </c>
      <c r="C18" s="88" t="s">
        <v>49</v>
      </c>
      <c r="D18" s="88"/>
      <c r="E18" s="88"/>
      <c r="F18" s="88"/>
      <c r="G18" s="88"/>
      <c r="H18" s="88"/>
      <c r="I18" s="88" t="s">
        <v>163</v>
      </c>
      <c r="J18" s="88"/>
      <c r="K18" s="88"/>
      <c r="L18" s="88" t="s">
        <v>164</v>
      </c>
      <c r="M18" s="88"/>
      <c r="N18" s="88"/>
      <c r="O18" s="88"/>
      <c r="P18" s="25" t="s">
        <v>42</v>
      </c>
      <c r="Q18" s="25" t="s">
        <v>61</v>
      </c>
      <c r="R18" s="25">
        <v>14.16</v>
      </c>
      <c r="S18" s="25">
        <v>16</v>
      </c>
      <c r="T18" s="25">
        <v>14.63</v>
      </c>
      <c r="U18" s="46">
        <f>91.4</f>
        <v>91.4</v>
      </c>
    </row>
    <row r="19" spans="1:22" ht="75" customHeight="1" thickTop="1" x14ac:dyDescent="0.2">
      <c r="A19" s="21"/>
      <c r="B19" s="22" t="s">
        <v>57</v>
      </c>
      <c r="C19" s="87" t="s">
        <v>165</v>
      </c>
      <c r="D19" s="87"/>
      <c r="E19" s="87"/>
      <c r="F19" s="87"/>
      <c r="G19" s="87"/>
      <c r="H19" s="87"/>
      <c r="I19" s="87" t="s">
        <v>166</v>
      </c>
      <c r="J19" s="87"/>
      <c r="K19" s="87"/>
      <c r="L19" s="87" t="s">
        <v>167</v>
      </c>
      <c r="M19" s="87"/>
      <c r="N19" s="87"/>
      <c r="O19" s="87"/>
      <c r="P19" s="23" t="s">
        <v>168</v>
      </c>
      <c r="Q19" s="23" t="s">
        <v>61</v>
      </c>
      <c r="R19" s="43">
        <v>80</v>
      </c>
      <c r="S19" s="43">
        <v>85</v>
      </c>
      <c r="T19" s="43">
        <v>112</v>
      </c>
      <c r="U19" s="45">
        <f>131.8</f>
        <v>131.80000000000001</v>
      </c>
    </row>
    <row r="20" spans="1:22" ht="75" customHeight="1" x14ac:dyDescent="0.2">
      <c r="A20" s="21"/>
      <c r="B20" s="24" t="s">
        <v>49</v>
      </c>
      <c r="C20" s="88" t="s">
        <v>170</v>
      </c>
      <c r="D20" s="88"/>
      <c r="E20" s="88"/>
      <c r="F20" s="88"/>
      <c r="G20" s="88"/>
      <c r="H20" s="88"/>
      <c r="I20" s="88" t="s">
        <v>171</v>
      </c>
      <c r="J20" s="88"/>
      <c r="K20" s="88"/>
      <c r="L20" s="88" t="s">
        <v>172</v>
      </c>
      <c r="M20" s="88"/>
      <c r="N20" s="88"/>
      <c r="O20" s="88"/>
      <c r="P20" s="25" t="s">
        <v>168</v>
      </c>
      <c r="Q20" s="25" t="s">
        <v>61</v>
      </c>
      <c r="R20" s="44">
        <v>172</v>
      </c>
      <c r="S20" s="44">
        <v>162</v>
      </c>
      <c r="T20" s="44">
        <v>151</v>
      </c>
      <c r="U20" s="46">
        <f>93.2</f>
        <v>93.2</v>
      </c>
    </row>
    <row r="21" spans="1:22" ht="75" customHeight="1" x14ac:dyDescent="0.2">
      <c r="A21" s="21"/>
      <c r="B21" s="24" t="s">
        <v>49</v>
      </c>
      <c r="C21" s="88" t="s">
        <v>173</v>
      </c>
      <c r="D21" s="88"/>
      <c r="E21" s="88"/>
      <c r="F21" s="88"/>
      <c r="G21" s="88"/>
      <c r="H21" s="88"/>
      <c r="I21" s="88" t="s">
        <v>174</v>
      </c>
      <c r="J21" s="88"/>
      <c r="K21" s="88"/>
      <c r="L21" s="88" t="s">
        <v>175</v>
      </c>
      <c r="M21" s="88"/>
      <c r="N21" s="88"/>
      <c r="O21" s="88"/>
      <c r="P21" s="25" t="s">
        <v>168</v>
      </c>
      <c r="Q21" s="25" t="s">
        <v>61</v>
      </c>
      <c r="R21" s="44">
        <v>388</v>
      </c>
      <c r="S21" s="44">
        <v>376</v>
      </c>
      <c r="T21" s="44">
        <v>316</v>
      </c>
      <c r="U21" s="46">
        <f>84</f>
        <v>84</v>
      </c>
    </row>
    <row r="22" spans="1:22" ht="142.5" customHeight="1" x14ac:dyDescent="0.2">
      <c r="A22" s="21"/>
      <c r="B22" s="24" t="s">
        <v>49</v>
      </c>
      <c r="C22" s="88" t="s">
        <v>176</v>
      </c>
      <c r="D22" s="88"/>
      <c r="E22" s="88"/>
      <c r="F22" s="88"/>
      <c r="G22" s="88"/>
      <c r="H22" s="88"/>
      <c r="I22" s="88" t="s">
        <v>177</v>
      </c>
      <c r="J22" s="88"/>
      <c r="K22" s="88"/>
      <c r="L22" s="88" t="s">
        <v>178</v>
      </c>
      <c r="M22" s="88"/>
      <c r="N22" s="88"/>
      <c r="O22" s="88"/>
      <c r="P22" s="25" t="s">
        <v>42</v>
      </c>
      <c r="Q22" s="25" t="s">
        <v>179</v>
      </c>
      <c r="R22" s="25">
        <v>69.52</v>
      </c>
      <c r="S22" s="25">
        <v>70.67</v>
      </c>
      <c r="T22" s="25">
        <v>74.78</v>
      </c>
      <c r="U22" s="46">
        <f>105.8</f>
        <v>105.8</v>
      </c>
    </row>
    <row r="23" spans="1:22" ht="132" customHeight="1" x14ac:dyDescent="0.2">
      <c r="A23" s="21"/>
      <c r="B23" s="24" t="s">
        <v>49</v>
      </c>
      <c r="C23" s="88" t="s">
        <v>180</v>
      </c>
      <c r="D23" s="88"/>
      <c r="E23" s="88"/>
      <c r="F23" s="88"/>
      <c r="G23" s="88"/>
      <c r="H23" s="88"/>
      <c r="I23" s="88" t="s">
        <v>181</v>
      </c>
      <c r="J23" s="88"/>
      <c r="K23" s="88"/>
      <c r="L23" s="88" t="s">
        <v>182</v>
      </c>
      <c r="M23" s="88"/>
      <c r="N23" s="88"/>
      <c r="O23" s="88"/>
      <c r="P23" s="25" t="s">
        <v>42</v>
      </c>
      <c r="Q23" s="25" t="s">
        <v>61</v>
      </c>
      <c r="R23" s="25">
        <v>21.24</v>
      </c>
      <c r="S23" s="25">
        <v>21.29</v>
      </c>
      <c r="T23" s="25">
        <v>22.44</v>
      </c>
      <c r="U23" s="46">
        <f>105.4</f>
        <v>105.4</v>
      </c>
    </row>
    <row r="24" spans="1:22" ht="75" customHeight="1" thickBot="1" x14ac:dyDescent="0.25">
      <c r="A24" s="21"/>
      <c r="B24" s="24" t="s">
        <v>49</v>
      </c>
      <c r="C24" s="88" t="s">
        <v>183</v>
      </c>
      <c r="D24" s="88"/>
      <c r="E24" s="88"/>
      <c r="F24" s="88"/>
      <c r="G24" s="88"/>
      <c r="H24" s="88"/>
      <c r="I24" s="88" t="s">
        <v>184</v>
      </c>
      <c r="J24" s="88"/>
      <c r="K24" s="88"/>
      <c r="L24" s="88" t="s">
        <v>185</v>
      </c>
      <c r="M24" s="88"/>
      <c r="N24" s="88"/>
      <c r="O24" s="88"/>
      <c r="P24" s="25" t="s">
        <v>168</v>
      </c>
      <c r="Q24" s="25" t="s">
        <v>61</v>
      </c>
      <c r="R24" s="44">
        <v>2050</v>
      </c>
      <c r="S24" s="44">
        <v>2050</v>
      </c>
      <c r="T24" s="44">
        <v>1973</v>
      </c>
      <c r="U24" s="46">
        <f>96.2</f>
        <v>96.2</v>
      </c>
    </row>
    <row r="25" spans="1:22" ht="14.25" customHeight="1" thickTop="1" thickBot="1" x14ac:dyDescent="0.25">
      <c r="B25" s="4" t="s">
        <v>62</v>
      </c>
      <c r="C25" s="5"/>
      <c r="D25" s="5"/>
      <c r="E25" s="5"/>
      <c r="F25" s="5"/>
      <c r="G25" s="5"/>
      <c r="H25" s="6"/>
      <c r="I25" s="6"/>
      <c r="J25" s="6"/>
      <c r="K25" s="6"/>
      <c r="L25" s="6"/>
      <c r="M25" s="6"/>
      <c r="N25" s="6"/>
      <c r="O25" s="6"/>
      <c r="P25" s="6"/>
      <c r="Q25" s="6"/>
      <c r="R25" s="6"/>
      <c r="S25" s="6"/>
      <c r="T25" s="6"/>
      <c r="U25" s="7"/>
      <c r="V25" s="26"/>
    </row>
    <row r="26" spans="1:22" ht="26.25" customHeight="1" thickTop="1" x14ac:dyDescent="0.2">
      <c r="B26" s="27"/>
      <c r="C26" s="28"/>
      <c r="D26" s="28"/>
      <c r="E26" s="28"/>
      <c r="F26" s="28"/>
      <c r="G26" s="28"/>
      <c r="H26" s="29"/>
      <c r="I26" s="29"/>
      <c r="J26" s="29"/>
      <c r="K26" s="29"/>
      <c r="L26" s="29"/>
      <c r="M26" s="29"/>
      <c r="N26" s="29"/>
      <c r="O26" s="29"/>
      <c r="P26" s="29"/>
      <c r="Q26" s="29"/>
      <c r="R26" s="30"/>
      <c r="S26" s="31" t="s">
        <v>33</v>
      </c>
      <c r="T26" s="31" t="s">
        <v>63</v>
      </c>
      <c r="U26" s="18" t="s">
        <v>64</v>
      </c>
    </row>
    <row r="27" spans="1:22" ht="26.25" customHeight="1" thickBot="1" x14ac:dyDescent="0.25">
      <c r="B27" s="32"/>
      <c r="C27" s="33"/>
      <c r="D27" s="33"/>
      <c r="E27" s="33"/>
      <c r="F27" s="33"/>
      <c r="G27" s="33"/>
      <c r="H27" s="34"/>
      <c r="I27" s="34"/>
      <c r="J27" s="34"/>
      <c r="K27" s="34"/>
      <c r="L27" s="34"/>
      <c r="M27" s="34"/>
      <c r="N27" s="34"/>
      <c r="O27" s="34"/>
      <c r="P27" s="34"/>
      <c r="Q27" s="34"/>
      <c r="R27" s="34"/>
      <c r="S27" s="35" t="s">
        <v>65</v>
      </c>
      <c r="T27" s="36" t="s">
        <v>65</v>
      </c>
      <c r="U27" s="36" t="s">
        <v>66</v>
      </c>
    </row>
    <row r="28" spans="1:22" ht="13.5" customHeight="1" thickBot="1" x14ac:dyDescent="0.25">
      <c r="B28" s="95" t="s">
        <v>67</v>
      </c>
      <c r="C28" s="96"/>
      <c r="D28" s="96"/>
      <c r="E28" s="37"/>
      <c r="F28" s="37"/>
      <c r="G28" s="37"/>
      <c r="H28" s="38"/>
      <c r="I28" s="38"/>
      <c r="J28" s="38"/>
      <c r="K28" s="38"/>
      <c r="L28" s="38"/>
      <c r="M28" s="38"/>
      <c r="N28" s="38"/>
      <c r="O28" s="38"/>
      <c r="P28" s="39"/>
      <c r="Q28" s="39"/>
      <c r="R28" s="39"/>
      <c r="S28" s="47">
        <v>217.36499800000001</v>
      </c>
      <c r="T28" s="47">
        <v>226.15241940999999</v>
      </c>
      <c r="U28" s="48">
        <f>+IF(ISERR(T28/S28*100),"N/A",ROUND(T28/S28*100,1))</f>
        <v>104</v>
      </c>
    </row>
    <row r="29" spans="1:22" ht="13.5" customHeight="1" thickBot="1" x14ac:dyDescent="0.25">
      <c r="B29" s="97" t="s">
        <v>68</v>
      </c>
      <c r="C29" s="98"/>
      <c r="D29" s="98"/>
      <c r="E29" s="40"/>
      <c r="F29" s="40"/>
      <c r="G29" s="40"/>
      <c r="H29" s="41"/>
      <c r="I29" s="41"/>
      <c r="J29" s="41"/>
      <c r="K29" s="41"/>
      <c r="L29" s="41"/>
      <c r="M29" s="41"/>
      <c r="N29" s="41"/>
      <c r="O29" s="41"/>
      <c r="P29" s="42"/>
      <c r="Q29" s="42"/>
      <c r="R29" s="42"/>
      <c r="S29" s="47">
        <v>226.15241940999999</v>
      </c>
      <c r="T29" s="47">
        <v>226.15241940999999</v>
      </c>
      <c r="U29" s="48">
        <f>+IF(ISERR(T29/S29*100),"N/A",ROUND(T29/S29*100,1))</f>
        <v>100</v>
      </c>
    </row>
    <row r="30" spans="1:22" ht="14.85" customHeight="1" thickTop="1" thickBot="1" x14ac:dyDescent="0.25">
      <c r="B30" s="4" t="s">
        <v>69</v>
      </c>
      <c r="C30" s="5"/>
      <c r="D30" s="5"/>
      <c r="E30" s="5"/>
      <c r="F30" s="5"/>
      <c r="G30" s="5"/>
      <c r="H30" s="6"/>
      <c r="I30" s="6"/>
      <c r="J30" s="6"/>
      <c r="K30" s="6"/>
      <c r="L30" s="6"/>
      <c r="M30" s="6"/>
      <c r="N30" s="6"/>
      <c r="O30" s="6"/>
      <c r="P30" s="6"/>
      <c r="Q30" s="6"/>
      <c r="R30" s="6"/>
      <c r="S30" s="6"/>
      <c r="T30" s="6"/>
      <c r="U30" s="7"/>
    </row>
    <row r="31" spans="1:22" ht="44.25" customHeight="1" thickTop="1" x14ac:dyDescent="0.2">
      <c r="B31" s="99" t="s">
        <v>70</v>
      </c>
      <c r="C31" s="100"/>
      <c r="D31" s="100"/>
      <c r="E31" s="100"/>
      <c r="F31" s="100"/>
      <c r="G31" s="100"/>
      <c r="H31" s="100"/>
      <c r="I31" s="100"/>
      <c r="J31" s="100"/>
      <c r="K31" s="100"/>
      <c r="L31" s="100"/>
      <c r="M31" s="100"/>
      <c r="N31" s="100"/>
      <c r="O31" s="100"/>
      <c r="P31" s="100"/>
      <c r="Q31" s="100"/>
      <c r="R31" s="100"/>
      <c r="S31" s="100"/>
      <c r="T31" s="100"/>
      <c r="U31" s="101"/>
    </row>
    <row r="32" spans="1:22" ht="147.75" customHeight="1" x14ac:dyDescent="0.2">
      <c r="B32" s="89" t="s">
        <v>186</v>
      </c>
      <c r="C32" s="90"/>
      <c r="D32" s="90"/>
      <c r="E32" s="90"/>
      <c r="F32" s="90"/>
      <c r="G32" s="90"/>
      <c r="H32" s="90"/>
      <c r="I32" s="90"/>
      <c r="J32" s="90"/>
      <c r="K32" s="90"/>
      <c r="L32" s="90"/>
      <c r="M32" s="90"/>
      <c r="N32" s="90"/>
      <c r="O32" s="90"/>
      <c r="P32" s="90"/>
      <c r="Q32" s="90"/>
      <c r="R32" s="90"/>
      <c r="S32" s="90"/>
      <c r="T32" s="90"/>
      <c r="U32" s="91"/>
    </row>
    <row r="33" spans="2:21" ht="115.5" customHeight="1" x14ac:dyDescent="0.2">
      <c r="B33" s="89" t="s">
        <v>187</v>
      </c>
      <c r="C33" s="90"/>
      <c r="D33" s="90"/>
      <c r="E33" s="90"/>
      <c r="F33" s="90"/>
      <c r="G33" s="90"/>
      <c r="H33" s="90"/>
      <c r="I33" s="90"/>
      <c r="J33" s="90"/>
      <c r="K33" s="90"/>
      <c r="L33" s="90"/>
      <c r="M33" s="90"/>
      <c r="N33" s="90"/>
      <c r="O33" s="90"/>
      <c r="P33" s="90"/>
      <c r="Q33" s="90"/>
      <c r="R33" s="90"/>
      <c r="S33" s="90"/>
      <c r="T33" s="90"/>
      <c r="U33" s="91"/>
    </row>
    <row r="34" spans="2:21" ht="98.25" customHeight="1" x14ac:dyDescent="0.2">
      <c r="B34" s="89" t="s">
        <v>188</v>
      </c>
      <c r="C34" s="90"/>
      <c r="D34" s="90"/>
      <c r="E34" s="90"/>
      <c r="F34" s="90"/>
      <c r="G34" s="90"/>
      <c r="H34" s="90"/>
      <c r="I34" s="90"/>
      <c r="J34" s="90"/>
      <c r="K34" s="90"/>
      <c r="L34" s="90"/>
      <c r="M34" s="90"/>
      <c r="N34" s="90"/>
      <c r="O34" s="90"/>
      <c r="P34" s="90"/>
      <c r="Q34" s="90"/>
      <c r="R34" s="90"/>
      <c r="S34" s="90"/>
      <c r="T34" s="90"/>
      <c r="U34" s="91"/>
    </row>
    <row r="35" spans="2:21" ht="98.25" customHeight="1" x14ac:dyDescent="0.2">
      <c r="B35" s="89" t="s">
        <v>189</v>
      </c>
      <c r="C35" s="90"/>
      <c r="D35" s="90"/>
      <c r="E35" s="90"/>
      <c r="F35" s="90"/>
      <c r="G35" s="90"/>
      <c r="H35" s="90"/>
      <c r="I35" s="90"/>
      <c r="J35" s="90"/>
      <c r="K35" s="90"/>
      <c r="L35" s="90"/>
      <c r="M35" s="90"/>
      <c r="N35" s="90"/>
      <c r="O35" s="90"/>
      <c r="P35" s="90"/>
      <c r="Q35" s="90"/>
      <c r="R35" s="90"/>
      <c r="S35" s="90"/>
      <c r="T35" s="90"/>
      <c r="U35" s="91"/>
    </row>
    <row r="36" spans="2:21" ht="105" customHeight="1" x14ac:dyDescent="0.2">
      <c r="B36" s="89" t="s">
        <v>190</v>
      </c>
      <c r="C36" s="90"/>
      <c r="D36" s="90"/>
      <c r="E36" s="90"/>
      <c r="F36" s="90"/>
      <c r="G36" s="90"/>
      <c r="H36" s="90"/>
      <c r="I36" s="90"/>
      <c r="J36" s="90"/>
      <c r="K36" s="90"/>
      <c r="L36" s="90"/>
      <c r="M36" s="90"/>
      <c r="N36" s="90"/>
      <c r="O36" s="90"/>
      <c r="P36" s="90"/>
      <c r="Q36" s="90"/>
      <c r="R36" s="90"/>
      <c r="S36" s="90"/>
      <c r="T36" s="90"/>
      <c r="U36" s="91"/>
    </row>
    <row r="37" spans="2:21" ht="102.75" customHeight="1" x14ac:dyDescent="0.2">
      <c r="B37" s="89" t="s">
        <v>191</v>
      </c>
      <c r="C37" s="90"/>
      <c r="D37" s="90"/>
      <c r="E37" s="90"/>
      <c r="F37" s="90"/>
      <c r="G37" s="90"/>
      <c r="H37" s="90"/>
      <c r="I37" s="90"/>
      <c r="J37" s="90"/>
      <c r="K37" s="90"/>
      <c r="L37" s="90"/>
      <c r="M37" s="90"/>
      <c r="N37" s="90"/>
      <c r="O37" s="90"/>
      <c r="P37" s="90"/>
      <c r="Q37" s="90"/>
      <c r="R37" s="90"/>
      <c r="S37" s="90"/>
      <c r="T37" s="90"/>
      <c r="U37" s="91"/>
    </row>
    <row r="38" spans="2:21" ht="98.25" customHeight="1" x14ac:dyDescent="0.2">
      <c r="B38" s="89" t="s">
        <v>192</v>
      </c>
      <c r="C38" s="90"/>
      <c r="D38" s="90"/>
      <c r="E38" s="90"/>
      <c r="F38" s="90"/>
      <c r="G38" s="90"/>
      <c r="H38" s="90"/>
      <c r="I38" s="90"/>
      <c r="J38" s="90"/>
      <c r="K38" s="90"/>
      <c r="L38" s="90"/>
      <c r="M38" s="90"/>
      <c r="N38" s="90"/>
      <c r="O38" s="90"/>
      <c r="P38" s="90"/>
      <c r="Q38" s="90"/>
      <c r="R38" s="90"/>
      <c r="S38" s="90"/>
      <c r="T38" s="90"/>
      <c r="U38" s="91"/>
    </row>
    <row r="39" spans="2:21" ht="101.25" customHeight="1" x14ac:dyDescent="0.2">
      <c r="B39" s="89" t="s">
        <v>193</v>
      </c>
      <c r="C39" s="90"/>
      <c r="D39" s="90"/>
      <c r="E39" s="90"/>
      <c r="F39" s="90"/>
      <c r="G39" s="90"/>
      <c r="H39" s="90"/>
      <c r="I39" s="90"/>
      <c r="J39" s="90"/>
      <c r="K39" s="90"/>
      <c r="L39" s="90"/>
      <c r="M39" s="90"/>
      <c r="N39" s="90"/>
      <c r="O39" s="90"/>
      <c r="P39" s="90"/>
      <c r="Q39" s="90"/>
      <c r="R39" s="90"/>
      <c r="S39" s="90"/>
      <c r="T39" s="90"/>
      <c r="U39" s="91"/>
    </row>
    <row r="40" spans="2:21" ht="92.25" customHeight="1" x14ac:dyDescent="0.2">
      <c r="B40" s="89" t="s">
        <v>194</v>
      </c>
      <c r="C40" s="90"/>
      <c r="D40" s="90"/>
      <c r="E40" s="90"/>
      <c r="F40" s="90"/>
      <c r="G40" s="90"/>
      <c r="H40" s="90"/>
      <c r="I40" s="90"/>
      <c r="J40" s="90"/>
      <c r="K40" s="90"/>
      <c r="L40" s="90"/>
      <c r="M40" s="90"/>
      <c r="N40" s="90"/>
      <c r="O40" s="90"/>
      <c r="P40" s="90"/>
      <c r="Q40" s="90"/>
      <c r="R40" s="90"/>
      <c r="S40" s="90"/>
      <c r="T40" s="90"/>
      <c r="U40" s="91"/>
    </row>
    <row r="41" spans="2:21" ht="104.25" customHeight="1" x14ac:dyDescent="0.2">
      <c r="B41" s="89" t="s">
        <v>195</v>
      </c>
      <c r="C41" s="90"/>
      <c r="D41" s="90"/>
      <c r="E41" s="90"/>
      <c r="F41" s="90"/>
      <c r="G41" s="90"/>
      <c r="H41" s="90"/>
      <c r="I41" s="90"/>
      <c r="J41" s="90"/>
      <c r="K41" s="90"/>
      <c r="L41" s="90"/>
      <c r="M41" s="90"/>
      <c r="N41" s="90"/>
      <c r="O41" s="90"/>
      <c r="P41" s="90"/>
      <c r="Q41" s="90"/>
      <c r="R41" s="90"/>
      <c r="S41" s="90"/>
      <c r="T41" s="90"/>
      <c r="U41" s="91"/>
    </row>
    <row r="42" spans="2:21" ht="101.25" customHeight="1" x14ac:dyDescent="0.2">
      <c r="B42" s="89" t="s">
        <v>196</v>
      </c>
      <c r="C42" s="90"/>
      <c r="D42" s="90"/>
      <c r="E42" s="90"/>
      <c r="F42" s="90"/>
      <c r="G42" s="90"/>
      <c r="H42" s="90"/>
      <c r="I42" s="90"/>
      <c r="J42" s="90"/>
      <c r="K42" s="90"/>
      <c r="L42" s="90"/>
      <c r="M42" s="90"/>
      <c r="N42" s="90"/>
      <c r="O42" s="90"/>
      <c r="P42" s="90"/>
      <c r="Q42" s="90"/>
      <c r="R42" s="90"/>
      <c r="S42" s="90"/>
      <c r="T42" s="90"/>
      <c r="U42" s="91"/>
    </row>
    <row r="43" spans="2:21" ht="101.25" customHeight="1" x14ac:dyDescent="0.2">
      <c r="B43" s="89" t="s">
        <v>197</v>
      </c>
      <c r="C43" s="90"/>
      <c r="D43" s="90"/>
      <c r="E43" s="90"/>
      <c r="F43" s="90"/>
      <c r="G43" s="90"/>
      <c r="H43" s="90"/>
      <c r="I43" s="90"/>
      <c r="J43" s="90"/>
      <c r="K43" s="90"/>
      <c r="L43" s="90"/>
      <c r="M43" s="90"/>
      <c r="N43" s="90"/>
      <c r="O43" s="90"/>
      <c r="P43" s="90"/>
      <c r="Q43" s="90"/>
      <c r="R43" s="90"/>
      <c r="S43" s="90"/>
      <c r="T43" s="90"/>
      <c r="U43" s="91"/>
    </row>
    <row r="44" spans="2:21" ht="105.75" customHeight="1" x14ac:dyDescent="0.2">
      <c r="B44" s="89" t="s">
        <v>198</v>
      </c>
      <c r="C44" s="90"/>
      <c r="D44" s="90"/>
      <c r="E44" s="90"/>
      <c r="F44" s="90"/>
      <c r="G44" s="90"/>
      <c r="H44" s="90"/>
      <c r="I44" s="90"/>
      <c r="J44" s="90"/>
      <c r="K44" s="90"/>
      <c r="L44" s="90"/>
      <c r="M44" s="90"/>
      <c r="N44" s="90"/>
      <c r="O44" s="90"/>
      <c r="P44" s="90"/>
      <c r="Q44" s="90"/>
      <c r="R44" s="90"/>
      <c r="S44" s="90"/>
      <c r="T44" s="90"/>
      <c r="U44" s="91"/>
    </row>
    <row r="45" spans="2:21" ht="98.25" customHeight="1" thickBot="1" x14ac:dyDescent="0.25">
      <c r="B45" s="92" t="s">
        <v>199</v>
      </c>
      <c r="C45" s="93"/>
      <c r="D45" s="93"/>
      <c r="E45" s="93"/>
      <c r="F45" s="93"/>
      <c r="G45" s="93"/>
      <c r="H45" s="93"/>
      <c r="I45" s="93"/>
      <c r="J45" s="93"/>
      <c r="K45" s="93"/>
      <c r="L45" s="93"/>
      <c r="M45" s="93"/>
      <c r="N45" s="93"/>
      <c r="O45" s="93"/>
      <c r="P45" s="93"/>
      <c r="Q45" s="93"/>
      <c r="R45" s="93"/>
      <c r="S45" s="93"/>
      <c r="T45" s="93"/>
      <c r="U45" s="94"/>
    </row>
  </sheetData>
  <mergeCells count="80">
    <mergeCell ref="B44:U44"/>
    <mergeCell ref="B45:U45"/>
    <mergeCell ref="B38:U38"/>
    <mergeCell ref="B39:U39"/>
    <mergeCell ref="B40:U40"/>
    <mergeCell ref="B41:U41"/>
    <mergeCell ref="B42:U42"/>
    <mergeCell ref="B43:U43"/>
    <mergeCell ref="B37:U37"/>
    <mergeCell ref="C24:H24"/>
    <mergeCell ref="I24:K24"/>
    <mergeCell ref="L24:O24"/>
    <mergeCell ref="B28:D28"/>
    <mergeCell ref="B29:D29"/>
    <mergeCell ref="B31:U31"/>
    <mergeCell ref="B32:U32"/>
    <mergeCell ref="B33:U33"/>
    <mergeCell ref="B34:U34"/>
    <mergeCell ref="B35:U35"/>
    <mergeCell ref="B36:U36"/>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9"/>
  <sheetViews>
    <sheetView view="pageBreakPreview" topLeftCell="K16" zoomScale="80" zoomScaleNormal="80" zoomScaleSheetLayoutView="80" workbookViewId="0">
      <selection activeCell="Q15" sqref="Q15"/>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200</v>
      </c>
      <c r="D4" s="57" t="s">
        <v>201</v>
      </c>
      <c r="E4" s="57"/>
      <c r="F4" s="57"/>
      <c r="G4" s="57"/>
      <c r="H4" s="57"/>
      <c r="I4" s="10"/>
      <c r="J4" s="11" t="s">
        <v>9</v>
      </c>
      <c r="K4" s="12" t="s">
        <v>10</v>
      </c>
      <c r="L4" s="58" t="s">
        <v>11</v>
      </c>
      <c r="M4" s="58"/>
      <c r="N4" s="58"/>
      <c r="O4" s="58"/>
      <c r="P4" s="11" t="s">
        <v>12</v>
      </c>
      <c r="Q4" s="58" t="s">
        <v>202</v>
      </c>
      <c r="R4" s="58"/>
      <c r="S4" s="11" t="s">
        <v>14</v>
      </c>
      <c r="T4" s="58" t="s">
        <v>140</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53.25" customHeight="1" thickBot="1" x14ac:dyDescent="0.25">
      <c r="B6" s="13" t="s">
        <v>16</v>
      </c>
      <c r="C6" s="60" t="s">
        <v>17</v>
      </c>
      <c r="D6" s="60"/>
      <c r="E6" s="60"/>
      <c r="F6" s="60"/>
      <c r="G6" s="60"/>
      <c r="H6" s="14"/>
      <c r="I6" s="14"/>
      <c r="J6" s="14" t="s">
        <v>18</v>
      </c>
      <c r="K6" s="60" t="s">
        <v>78</v>
      </c>
      <c r="L6" s="60"/>
      <c r="M6" s="60"/>
      <c r="N6" s="15"/>
      <c r="O6" s="16" t="s">
        <v>20</v>
      </c>
      <c r="P6" s="60" t="s">
        <v>203</v>
      </c>
      <c r="Q6" s="60"/>
      <c r="R6" s="17"/>
      <c r="S6" s="16" t="s">
        <v>22</v>
      </c>
      <c r="T6" s="60" t="s">
        <v>142</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93.75" customHeight="1" thickTop="1" thickBot="1" x14ac:dyDescent="0.25">
      <c r="A11" s="21"/>
      <c r="B11" s="22" t="s">
        <v>38</v>
      </c>
      <c r="C11" s="87" t="s">
        <v>204</v>
      </c>
      <c r="D11" s="87"/>
      <c r="E11" s="87"/>
      <c r="F11" s="87"/>
      <c r="G11" s="87"/>
      <c r="H11" s="87"/>
      <c r="I11" s="87" t="s">
        <v>205</v>
      </c>
      <c r="J11" s="87"/>
      <c r="K11" s="87"/>
      <c r="L11" s="87" t="s">
        <v>206</v>
      </c>
      <c r="M11" s="87"/>
      <c r="N11" s="87"/>
      <c r="O11" s="87"/>
      <c r="P11" s="23" t="s">
        <v>207</v>
      </c>
      <c r="Q11" s="23" t="s">
        <v>43</v>
      </c>
      <c r="R11" s="43" t="s">
        <v>169</v>
      </c>
      <c r="S11" s="43">
        <v>8</v>
      </c>
      <c r="T11" s="43">
        <v>9</v>
      </c>
      <c r="U11" s="45">
        <f>112.5</f>
        <v>112.5</v>
      </c>
    </row>
    <row r="12" spans="1:21" ht="81" customHeight="1" thickTop="1" thickBot="1" x14ac:dyDescent="0.25">
      <c r="A12" s="21"/>
      <c r="B12" s="22" t="s">
        <v>44</v>
      </c>
      <c r="C12" s="87" t="s">
        <v>208</v>
      </c>
      <c r="D12" s="87"/>
      <c r="E12" s="87"/>
      <c r="F12" s="87"/>
      <c r="G12" s="87"/>
      <c r="H12" s="87"/>
      <c r="I12" s="87" t="s">
        <v>209</v>
      </c>
      <c r="J12" s="87"/>
      <c r="K12" s="87"/>
      <c r="L12" s="87" t="s">
        <v>210</v>
      </c>
      <c r="M12" s="87"/>
      <c r="N12" s="87"/>
      <c r="O12" s="87"/>
      <c r="P12" s="23" t="s">
        <v>211</v>
      </c>
      <c r="Q12" s="23" t="s">
        <v>212</v>
      </c>
      <c r="R12" s="43" t="s">
        <v>169</v>
      </c>
      <c r="S12" s="43">
        <v>383</v>
      </c>
      <c r="T12" s="43">
        <v>383</v>
      </c>
      <c r="U12" s="45">
        <f>100</f>
        <v>100</v>
      </c>
    </row>
    <row r="13" spans="1:21" ht="67.5" customHeight="1" thickTop="1" x14ac:dyDescent="0.2">
      <c r="A13" s="21"/>
      <c r="B13" s="22" t="s">
        <v>52</v>
      </c>
      <c r="C13" s="87" t="s">
        <v>213</v>
      </c>
      <c r="D13" s="87"/>
      <c r="E13" s="87"/>
      <c r="F13" s="87"/>
      <c r="G13" s="87"/>
      <c r="H13" s="87"/>
      <c r="I13" s="87" t="s">
        <v>214</v>
      </c>
      <c r="J13" s="87"/>
      <c r="K13" s="87"/>
      <c r="L13" s="87" t="s">
        <v>215</v>
      </c>
      <c r="M13" s="87"/>
      <c r="N13" s="87"/>
      <c r="O13" s="87"/>
      <c r="P13" s="23" t="s">
        <v>216</v>
      </c>
      <c r="Q13" s="23" t="s">
        <v>217</v>
      </c>
      <c r="R13" s="43">
        <v>6091746</v>
      </c>
      <c r="S13" s="43">
        <v>6091746</v>
      </c>
      <c r="T13" s="43">
        <v>8689999</v>
      </c>
      <c r="U13" s="45">
        <f>142.6</f>
        <v>142.6</v>
      </c>
    </row>
    <row r="14" spans="1:21" ht="65.25" customHeight="1" thickBot="1" x14ac:dyDescent="0.25">
      <c r="A14" s="21"/>
      <c r="B14" s="24" t="s">
        <v>49</v>
      </c>
      <c r="C14" s="88" t="s">
        <v>218</v>
      </c>
      <c r="D14" s="88"/>
      <c r="E14" s="88"/>
      <c r="F14" s="88"/>
      <c r="G14" s="88"/>
      <c r="H14" s="88"/>
      <c r="I14" s="88" t="s">
        <v>219</v>
      </c>
      <c r="J14" s="88"/>
      <c r="K14" s="88"/>
      <c r="L14" s="88" t="s">
        <v>220</v>
      </c>
      <c r="M14" s="88"/>
      <c r="N14" s="88"/>
      <c r="O14" s="88"/>
      <c r="P14" s="25" t="s">
        <v>42</v>
      </c>
      <c r="Q14" s="25" t="s">
        <v>221</v>
      </c>
      <c r="R14" s="25" t="s">
        <v>169</v>
      </c>
      <c r="S14" s="25">
        <v>80</v>
      </c>
      <c r="T14" s="25">
        <v>99.9</v>
      </c>
      <c r="U14" s="46">
        <f>124.8</f>
        <v>124.8</v>
      </c>
    </row>
    <row r="15" spans="1:21" ht="65.25" customHeight="1" thickTop="1" x14ac:dyDescent="0.2">
      <c r="A15" s="21"/>
      <c r="B15" s="22" t="s">
        <v>57</v>
      </c>
      <c r="C15" s="87" t="s">
        <v>222</v>
      </c>
      <c r="D15" s="87"/>
      <c r="E15" s="87"/>
      <c r="F15" s="87"/>
      <c r="G15" s="87"/>
      <c r="H15" s="87"/>
      <c r="I15" s="87" t="s">
        <v>223</v>
      </c>
      <c r="J15" s="87"/>
      <c r="K15" s="87"/>
      <c r="L15" s="87" t="s">
        <v>224</v>
      </c>
      <c r="M15" s="87"/>
      <c r="N15" s="87"/>
      <c r="O15" s="87"/>
      <c r="P15" s="23" t="s">
        <v>42</v>
      </c>
      <c r="Q15" s="23" t="s">
        <v>179</v>
      </c>
      <c r="R15" s="23" t="s">
        <v>169</v>
      </c>
      <c r="S15" s="23">
        <v>100</v>
      </c>
      <c r="T15" s="23">
        <v>100</v>
      </c>
      <c r="U15" s="45">
        <f>100</f>
        <v>100</v>
      </c>
    </row>
    <row r="16" spans="1:21" ht="75" customHeight="1" thickBot="1" x14ac:dyDescent="0.25">
      <c r="A16" s="21"/>
      <c r="B16" s="24" t="s">
        <v>49</v>
      </c>
      <c r="C16" s="88" t="s">
        <v>225</v>
      </c>
      <c r="D16" s="88"/>
      <c r="E16" s="88"/>
      <c r="F16" s="88"/>
      <c r="G16" s="88"/>
      <c r="H16" s="88"/>
      <c r="I16" s="88" t="s">
        <v>226</v>
      </c>
      <c r="J16" s="88"/>
      <c r="K16" s="88"/>
      <c r="L16" s="88" t="s">
        <v>227</v>
      </c>
      <c r="M16" s="88"/>
      <c r="N16" s="88"/>
      <c r="O16" s="88"/>
      <c r="P16" s="25" t="s">
        <v>42</v>
      </c>
      <c r="Q16" s="25" t="s">
        <v>228</v>
      </c>
      <c r="R16" s="25" t="s">
        <v>169</v>
      </c>
      <c r="S16" s="25">
        <v>100</v>
      </c>
      <c r="T16" s="25">
        <v>100</v>
      </c>
      <c r="U16" s="46">
        <f>100</f>
        <v>100</v>
      </c>
    </row>
    <row r="17" spans="2:22" ht="14.25" customHeight="1" thickTop="1" thickBot="1" x14ac:dyDescent="0.25">
      <c r="B17" s="4" t="s">
        <v>62</v>
      </c>
      <c r="C17" s="5"/>
      <c r="D17" s="5"/>
      <c r="E17" s="5"/>
      <c r="F17" s="5"/>
      <c r="G17" s="5"/>
      <c r="H17" s="6"/>
      <c r="I17" s="6"/>
      <c r="J17" s="6"/>
      <c r="K17" s="6"/>
      <c r="L17" s="6"/>
      <c r="M17" s="6"/>
      <c r="N17" s="6"/>
      <c r="O17" s="6"/>
      <c r="P17" s="6"/>
      <c r="Q17" s="6"/>
      <c r="R17" s="6"/>
      <c r="S17" s="6"/>
      <c r="T17" s="6"/>
      <c r="U17" s="7"/>
      <c r="V17" s="26"/>
    </row>
    <row r="18" spans="2:22" ht="26.25" customHeight="1" thickTop="1" x14ac:dyDescent="0.2">
      <c r="B18" s="27"/>
      <c r="C18" s="28"/>
      <c r="D18" s="28"/>
      <c r="E18" s="28"/>
      <c r="F18" s="28"/>
      <c r="G18" s="28"/>
      <c r="H18" s="29"/>
      <c r="I18" s="29"/>
      <c r="J18" s="29"/>
      <c r="K18" s="29"/>
      <c r="L18" s="29"/>
      <c r="M18" s="29"/>
      <c r="N18" s="29"/>
      <c r="O18" s="29"/>
      <c r="P18" s="29"/>
      <c r="Q18" s="29"/>
      <c r="R18" s="30"/>
      <c r="S18" s="31" t="s">
        <v>33</v>
      </c>
      <c r="T18" s="31" t="s">
        <v>63</v>
      </c>
      <c r="U18" s="18" t="s">
        <v>64</v>
      </c>
    </row>
    <row r="19" spans="2:22" ht="26.25" customHeight="1" thickBot="1" x14ac:dyDescent="0.25">
      <c r="B19" s="32"/>
      <c r="C19" s="33"/>
      <c r="D19" s="33"/>
      <c r="E19" s="33"/>
      <c r="F19" s="33"/>
      <c r="G19" s="33"/>
      <c r="H19" s="34"/>
      <c r="I19" s="34"/>
      <c r="J19" s="34"/>
      <c r="K19" s="34"/>
      <c r="L19" s="34"/>
      <c r="M19" s="34"/>
      <c r="N19" s="34"/>
      <c r="O19" s="34"/>
      <c r="P19" s="34"/>
      <c r="Q19" s="34"/>
      <c r="R19" s="34"/>
      <c r="S19" s="35" t="s">
        <v>65</v>
      </c>
      <c r="T19" s="36" t="s">
        <v>65</v>
      </c>
      <c r="U19" s="36" t="s">
        <v>66</v>
      </c>
    </row>
    <row r="20" spans="2:22" ht="13.5" customHeight="1" thickBot="1" x14ac:dyDescent="0.25">
      <c r="B20" s="95" t="s">
        <v>67</v>
      </c>
      <c r="C20" s="96"/>
      <c r="D20" s="96"/>
      <c r="E20" s="37"/>
      <c r="F20" s="37"/>
      <c r="G20" s="37"/>
      <c r="H20" s="38"/>
      <c r="I20" s="38"/>
      <c r="J20" s="38"/>
      <c r="K20" s="38"/>
      <c r="L20" s="38"/>
      <c r="M20" s="38"/>
      <c r="N20" s="38"/>
      <c r="O20" s="38"/>
      <c r="P20" s="39"/>
      <c r="Q20" s="39"/>
      <c r="R20" s="39"/>
      <c r="S20" s="47">
        <v>584.91499999999996</v>
      </c>
      <c r="T20" s="47">
        <v>796.33745131000001</v>
      </c>
      <c r="U20" s="48">
        <f>+IF(ISERR(T20/S20*100),"N/A",ROUND(T20/S20*100,1))</f>
        <v>136.1</v>
      </c>
    </row>
    <row r="21" spans="2:22" ht="13.5" customHeight="1" thickBot="1" x14ac:dyDescent="0.25">
      <c r="B21" s="97" t="s">
        <v>68</v>
      </c>
      <c r="C21" s="98"/>
      <c r="D21" s="98"/>
      <c r="E21" s="40"/>
      <c r="F21" s="40"/>
      <c r="G21" s="40"/>
      <c r="H21" s="41"/>
      <c r="I21" s="41"/>
      <c r="J21" s="41"/>
      <c r="K21" s="41"/>
      <c r="L21" s="41"/>
      <c r="M21" s="41"/>
      <c r="N21" s="41"/>
      <c r="O21" s="41"/>
      <c r="P21" s="42"/>
      <c r="Q21" s="42"/>
      <c r="R21" s="42"/>
      <c r="S21" s="47">
        <v>796.33745131000001</v>
      </c>
      <c r="T21" s="47">
        <v>796.33745131000001</v>
      </c>
      <c r="U21" s="48">
        <f>+IF(ISERR(T21/S21*100),"N/A",ROUND(T21/S21*100,1))</f>
        <v>100</v>
      </c>
    </row>
    <row r="22" spans="2:22" ht="14.85" customHeight="1" thickTop="1" thickBot="1" x14ac:dyDescent="0.25">
      <c r="B22" s="4" t="s">
        <v>69</v>
      </c>
      <c r="C22" s="5"/>
      <c r="D22" s="5"/>
      <c r="E22" s="5"/>
      <c r="F22" s="5"/>
      <c r="G22" s="5"/>
      <c r="H22" s="6"/>
      <c r="I22" s="6"/>
      <c r="J22" s="6"/>
      <c r="K22" s="6"/>
      <c r="L22" s="6"/>
      <c r="M22" s="6"/>
      <c r="N22" s="6"/>
      <c r="O22" s="6"/>
      <c r="P22" s="6"/>
      <c r="Q22" s="6"/>
      <c r="R22" s="6"/>
      <c r="S22" s="6"/>
      <c r="T22" s="6"/>
      <c r="U22" s="7"/>
    </row>
    <row r="23" spans="2:22" ht="44.25" customHeight="1" thickTop="1" x14ac:dyDescent="0.2">
      <c r="B23" s="99" t="s">
        <v>70</v>
      </c>
      <c r="C23" s="100"/>
      <c r="D23" s="100"/>
      <c r="E23" s="100"/>
      <c r="F23" s="100"/>
      <c r="G23" s="100"/>
      <c r="H23" s="100"/>
      <c r="I23" s="100"/>
      <c r="J23" s="100"/>
      <c r="K23" s="100"/>
      <c r="L23" s="100"/>
      <c r="M23" s="100"/>
      <c r="N23" s="100"/>
      <c r="O23" s="100"/>
      <c r="P23" s="100"/>
      <c r="Q23" s="100"/>
      <c r="R23" s="100"/>
      <c r="S23" s="100"/>
      <c r="T23" s="100"/>
      <c r="U23" s="101"/>
    </row>
    <row r="24" spans="2:22" ht="51.75" customHeight="1" x14ac:dyDescent="0.2">
      <c r="B24" s="89" t="s">
        <v>229</v>
      </c>
      <c r="C24" s="90"/>
      <c r="D24" s="90"/>
      <c r="E24" s="90"/>
      <c r="F24" s="90"/>
      <c r="G24" s="90"/>
      <c r="H24" s="90"/>
      <c r="I24" s="90"/>
      <c r="J24" s="90"/>
      <c r="K24" s="90"/>
      <c r="L24" s="90"/>
      <c r="M24" s="90"/>
      <c r="N24" s="90"/>
      <c r="O24" s="90"/>
      <c r="P24" s="90"/>
      <c r="Q24" s="90"/>
      <c r="R24" s="90"/>
      <c r="S24" s="90"/>
      <c r="T24" s="90"/>
      <c r="U24" s="91"/>
    </row>
    <row r="25" spans="2:22" ht="40.5" customHeight="1" x14ac:dyDescent="0.2">
      <c r="B25" s="89" t="s">
        <v>230</v>
      </c>
      <c r="C25" s="90"/>
      <c r="D25" s="90"/>
      <c r="E25" s="90"/>
      <c r="F25" s="90"/>
      <c r="G25" s="90"/>
      <c r="H25" s="90"/>
      <c r="I25" s="90"/>
      <c r="J25" s="90"/>
      <c r="K25" s="90"/>
      <c r="L25" s="90"/>
      <c r="M25" s="90"/>
      <c r="N25" s="90"/>
      <c r="O25" s="90"/>
      <c r="P25" s="90"/>
      <c r="Q25" s="90"/>
      <c r="R25" s="90"/>
      <c r="S25" s="90"/>
      <c r="T25" s="90"/>
      <c r="U25" s="91"/>
    </row>
    <row r="26" spans="2:22" ht="51.75" customHeight="1" x14ac:dyDescent="0.2">
      <c r="B26" s="89" t="s">
        <v>231</v>
      </c>
      <c r="C26" s="90"/>
      <c r="D26" s="90"/>
      <c r="E26" s="90"/>
      <c r="F26" s="90"/>
      <c r="G26" s="90"/>
      <c r="H26" s="90"/>
      <c r="I26" s="90"/>
      <c r="J26" s="90"/>
      <c r="K26" s="90"/>
      <c r="L26" s="90"/>
      <c r="M26" s="90"/>
      <c r="N26" s="90"/>
      <c r="O26" s="90"/>
      <c r="P26" s="90"/>
      <c r="Q26" s="90"/>
      <c r="R26" s="90"/>
      <c r="S26" s="90"/>
      <c r="T26" s="90"/>
      <c r="U26" s="91"/>
    </row>
    <row r="27" spans="2:22" ht="51.75" customHeight="1" x14ac:dyDescent="0.2">
      <c r="B27" s="89" t="s">
        <v>232</v>
      </c>
      <c r="C27" s="90"/>
      <c r="D27" s="90"/>
      <c r="E27" s="90"/>
      <c r="F27" s="90"/>
      <c r="G27" s="90"/>
      <c r="H27" s="90"/>
      <c r="I27" s="90"/>
      <c r="J27" s="90"/>
      <c r="K27" s="90"/>
      <c r="L27" s="90"/>
      <c r="M27" s="90"/>
      <c r="N27" s="90"/>
      <c r="O27" s="90"/>
      <c r="P27" s="90"/>
      <c r="Q27" s="90"/>
      <c r="R27" s="90"/>
      <c r="S27" s="90"/>
      <c r="T27" s="90"/>
      <c r="U27" s="91"/>
    </row>
    <row r="28" spans="2:22" ht="45.75" customHeight="1" x14ac:dyDescent="0.2">
      <c r="B28" s="89" t="s">
        <v>233</v>
      </c>
      <c r="C28" s="90"/>
      <c r="D28" s="90"/>
      <c r="E28" s="90"/>
      <c r="F28" s="90"/>
      <c r="G28" s="90"/>
      <c r="H28" s="90"/>
      <c r="I28" s="90"/>
      <c r="J28" s="90"/>
      <c r="K28" s="90"/>
      <c r="L28" s="90"/>
      <c r="M28" s="90"/>
      <c r="N28" s="90"/>
      <c r="O28" s="90"/>
      <c r="P28" s="90"/>
      <c r="Q28" s="90"/>
      <c r="R28" s="90"/>
      <c r="S28" s="90"/>
      <c r="T28" s="90"/>
      <c r="U28" s="91"/>
    </row>
    <row r="29" spans="2:22" ht="43.5" customHeight="1" thickBot="1" x14ac:dyDescent="0.25">
      <c r="B29" s="92" t="s">
        <v>234</v>
      </c>
      <c r="C29" s="93"/>
      <c r="D29" s="93"/>
      <c r="E29" s="93"/>
      <c r="F29" s="93"/>
      <c r="G29" s="93"/>
      <c r="H29" s="93"/>
      <c r="I29" s="93"/>
      <c r="J29" s="93"/>
      <c r="K29" s="93"/>
      <c r="L29" s="93"/>
      <c r="M29" s="93"/>
      <c r="N29" s="93"/>
      <c r="O29" s="93"/>
      <c r="P29" s="93"/>
      <c r="Q29" s="93"/>
      <c r="R29" s="93"/>
      <c r="S29" s="93"/>
      <c r="T29" s="93"/>
      <c r="U29" s="94"/>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5"/>
  <sheetViews>
    <sheetView view="pageBreakPreview" topLeftCell="L19" zoomScale="80" zoomScaleNormal="80" zoomScaleSheetLayoutView="80" workbookViewId="0">
      <selection activeCell="T23" sqref="T23:T24"/>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70.5" customHeight="1" thickTop="1" x14ac:dyDescent="0.2">
      <c r="B4" s="8" t="s">
        <v>6</v>
      </c>
      <c r="C4" s="9" t="s">
        <v>235</v>
      </c>
      <c r="D4" s="57" t="s">
        <v>236</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62.25" customHeight="1" thickBot="1" x14ac:dyDescent="0.25">
      <c r="B6" s="13" t="s">
        <v>16</v>
      </c>
      <c r="C6" s="60" t="s">
        <v>17</v>
      </c>
      <c r="D6" s="60"/>
      <c r="E6" s="60"/>
      <c r="F6" s="60"/>
      <c r="G6" s="60"/>
      <c r="H6" s="14"/>
      <c r="I6" s="14"/>
      <c r="J6" s="14" t="s">
        <v>18</v>
      </c>
      <c r="K6" s="60" t="s">
        <v>78</v>
      </c>
      <c r="L6" s="60"/>
      <c r="M6" s="60"/>
      <c r="N6" s="15"/>
      <c r="O6" s="16" t="s">
        <v>20</v>
      </c>
      <c r="P6" s="60" t="s">
        <v>112</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237</v>
      </c>
      <c r="D11" s="87"/>
      <c r="E11" s="87"/>
      <c r="F11" s="87"/>
      <c r="G11" s="87"/>
      <c r="H11" s="87"/>
      <c r="I11" s="87" t="s">
        <v>238</v>
      </c>
      <c r="J11" s="87"/>
      <c r="K11" s="87"/>
      <c r="L11" s="87" t="s">
        <v>239</v>
      </c>
      <c r="M11" s="87"/>
      <c r="N11" s="87"/>
      <c r="O11" s="87"/>
      <c r="P11" s="23" t="s">
        <v>42</v>
      </c>
      <c r="Q11" s="23" t="s">
        <v>43</v>
      </c>
      <c r="R11" s="23">
        <v>95.49</v>
      </c>
      <c r="S11" s="23">
        <v>95.49</v>
      </c>
      <c r="T11" s="23">
        <v>95.5</v>
      </c>
      <c r="U11" s="45">
        <f>100</f>
        <v>100</v>
      </c>
    </row>
    <row r="12" spans="1:21" ht="89.25" customHeight="1" thickTop="1" x14ac:dyDescent="0.2">
      <c r="A12" s="21"/>
      <c r="B12" s="22" t="s">
        <v>44</v>
      </c>
      <c r="C12" s="87" t="s">
        <v>240</v>
      </c>
      <c r="D12" s="87"/>
      <c r="E12" s="87"/>
      <c r="F12" s="87"/>
      <c r="G12" s="87"/>
      <c r="H12" s="87"/>
      <c r="I12" s="87" t="s">
        <v>241</v>
      </c>
      <c r="J12" s="87"/>
      <c r="K12" s="87"/>
      <c r="L12" s="87" t="s">
        <v>242</v>
      </c>
      <c r="M12" s="87"/>
      <c r="N12" s="87"/>
      <c r="O12" s="87"/>
      <c r="P12" s="23" t="s">
        <v>42</v>
      </c>
      <c r="Q12" s="23" t="s">
        <v>43</v>
      </c>
      <c r="R12" s="23">
        <v>0.25</v>
      </c>
      <c r="S12" s="23">
        <v>0.25</v>
      </c>
      <c r="T12" s="23">
        <v>0.25</v>
      </c>
      <c r="U12" s="45">
        <f>100</f>
        <v>100</v>
      </c>
    </row>
    <row r="13" spans="1:21" ht="78" customHeight="1" thickBot="1" x14ac:dyDescent="0.25">
      <c r="A13" s="21"/>
      <c r="B13" s="24" t="s">
        <v>49</v>
      </c>
      <c r="C13" s="88" t="s">
        <v>49</v>
      </c>
      <c r="D13" s="88"/>
      <c r="E13" s="88"/>
      <c r="F13" s="88"/>
      <c r="G13" s="88"/>
      <c r="H13" s="88"/>
      <c r="I13" s="88" t="s">
        <v>243</v>
      </c>
      <c r="J13" s="88"/>
      <c r="K13" s="88"/>
      <c r="L13" s="88" t="s">
        <v>244</v>
      </c>
      <c r="M13" s="88"/>
      <c r="N13" s="88"/>
      <c r="O13" s="88"/>
      <c r="P13" s="25" t="s">
        <v>42</v>
      </c>
      <c r="Q13" s="25" t="s">
        <v>43</v>
      </c>
      <c r="R13" s="25">
        <v>0.28000000000000003</v>
      </c>
      <c r="S13" s="25">
        <v>0.28000000000000003</v>
      </c>
      <c r="T13" s="25">
        <v>0.3</v>
      </c>
      <c r="U13" s="46">
        <f>107.14</f>
        <v>107.14</v>
      </c>
    </row>
    <row r="14" spans="1:21" ht="64.5" customHeight="1" thickTop="1" x14ac:dyDescent="0.2">
      <c r="A14" s="21"/>
      <c r="B14" s="22" t="s">
        <v>52</v>
      </c>
      <c r="C14" s="87" t="s">
        <v>245</v>
      </c>
      <c r="D14" s="87"/>
      <c r="E14" s="87"/>
      <c r="F14" s="87"/>
      <c r="G14" s="87"/>
      <c r="H14" s="87"/>
      <c r="I14" s="87" t="s">
        <v>246</v>
      </c>
      <c r="J14" s="87"/>
      <c r="K14" s="87"/>
      <c r="L14" s="87" t="s">
        <v>247</v>
      </c>
      <c r="M14" s="87"/>
      <c r="N14" s="87"/>
      <c r="O14" s="87"/>
      <c r="P14" s="23" t="s">
        <v>42</v>
      </c>
      <c r="Q14" s="23" t="s">
        <v>248</v>
      </c>
      <c r="R14" s="23">
        <v>16.670000000000002</v>
      </c>
      <c r="S14" s="23">
        <v>16.670000000000002</v>
      </c>
      <c r="T14" s="23">
        <v>19.25</v>
      </c>
      <c r="U14" s="45">
        <f>115.47</f>
        <v>115.47</v>
      </c>
    </row>
    <row r="15" spans="1:21" ht="59.25" customHeight="1" x14ac:dyDescent="0.2">
      <c r="A15" s="21"/>
      <c r="B15" s="24" t="s">
        <v>49</v>
      </c>
      <c r="C15" s="88" t="s">
        <v>249</v>
      </c>
      <c r="D15" s="88"/>
      <c r="E15" s="88"/>
      <c r="F15" s="88"/>
      <c r="G15" s="88"/>
      <c r="H15" s="88"/>
      <c r="I15" s="88" t="s">
        <v>250</v>
      </c>
      <c r="J15" s="88"/>
      <c r="K15" s="88"/>
      <c r="L15" s="88" t="s">
        <v>251</v>
      </c>
      <c r="M15" s="88"/>
      <c r="N15" s="88"/>
      <c r="O15" s="88"/>
      <c r="P15" s="25" t="s">
        <v>42</v>
      </c>
      <c r="Q15" s="25" t="s">
        <v>248</v>
      </c>
      <c r="R15" s="25">
        <v>80</v>
      </c>
      <c r="S15" s="25">
        <v>80</v>
      </c>
      <c r="T15" s="25">
        <v>97.5</v>
      </c>
      <c r="U15" s="46">
        <f>121.8</f>
        <v>121.8</v>
      </c>
    </row>
    <row r="16" spans="1:21" ht="60" customHeight="1" thickBot="1" x14ac:dyDescent="0.25">
      <c r="A16" s="21"/>
      <c r="B16" s="24" t="s">
        <v>49</v>
      </c>
      <c r="C16" s="88" t="s">
        <v>252</v>
      </c>
      <c r="D16" s="88"/>
      <c r="E16" s="88"/>
      <c r="F16" s="88"/>
      <c r="G16" s="88"/>
      <c r="H16" s="88"/>
      <c r="I16" s="88" t="s">
        <v>253</v>
      </c>
      <c r="J16" s="88"/>
      <c r="K16" s="88"/>
      <c r="L16" s="88" t="s">
        <v>254</v>
      </c>
      <c r="M16" s="88"/>
      <c r="N16" s="88"/>
      <c r="O16" s="88"/>
      <c r="P16" s="25" t="s">
        <v>42</v>
      </c>
      <c r="Q16" s="25" t="s">
        <v>248</v>
      </c>
      <c r="R16" s="25">
        <v>80</v>
      </c>
      <c r="S16" s="25">
        <v>80</v>
      </c>
      <c r="T16" s="25">
        <v>85.8</v>
      </c>
      <c r="U16" s="46">
        <f>107.2</f>
        <v>107.2</v>
      </c>
    </row>
    <row r="17" spans="1:22" ht="75" customHeight="1" thickTop="1" x14ac:dyDescent="0.2">
      <c r="A17" s="21"/>
      <c r="B17" s="22" t="s">
        <v>57</v>
      </c>
      <c r="C17" s="87" t="s">
        <v>255</v>
      </c>
      <c r="D17" s="87"/>
      <c r="E17" s="87"/>
      <c r="F17" s="87"/>
      <c r="G17" s="87"/>
      <c r="H17" s="87"/>
      <c r="I17" s="87" t="s">
        <v>256</v>
      </c>
      <c r="J17" s="87"/>
      <c r="K17" s="87"/>
      <c r="L17" s="87" t="s">
        <v>257</v>
      </c>
      <c r="M17" s="87"/>
      <c r="N17" s="87"/>
      <c r="O17" s="87"/>
      <c r="P17" s="23" t="s">
        <v>42</v>
      </c>
      <c r="Q17" s="23" t="s">
        <v>248</v>
      </c>
      <c r="R17" s="23">
        <v>71.88</v>
      </c>
      <c r="S17" s="23">
        <v>71.88</v>
      </c>
      <c r="T17" s="23">
        <v>71.88</v>
      </c>
      <c r="U17" s="45">
        <f>100</f>
        <v>100</v>
      </c>
    </row>
    <row r="18" spans="1:22" ht="78" customHeight="1" x14ac:dyDescent="0.2">
      <c r="A18" s="21"/>
      <c r="B18" s="24" t="s">
        <v>49</v>
      </c>
      <c r="C18" s="88" t="s">
        <v>258</v>
      </c>
      <c r="D18" s="88"/>
      <c r="E18" s="88"/>
      <c r="F18" s="88"/>
      <c r="G18" s="88"/>
      <c r="H18" s="88"/>
      <c r="I18" s="88" t="s">
        <v>259</v>
      </c>
      <c r="J18" s="88"/>
      <c r="K18" s="88"/>
      <c r="L18" s="88" t="s">
        <v>260</v>
      </c>
      <c r="M18" s="88"/>
      <c r="N18" s="88"/>
      <c r="O18" s="88"/>
      <c r="P18" s="25" t="s">
        <v>42</v>
      </c>
      <c r="Q18" s="25" t="s">
        <v>61</v>
      </c>
      <c r="R18" s="25">
        <v>100</v>
      </c>
      <c r="S18" s="25">
        <v>100</v>
      </c>
      <c r="T18" s="25">
        <v>100</v>
      </c>
      <c r="U18" s="46">
        <f>100</f>
        <v>100</v>
      </c>
    </row>
    <row r="19" spans="1:22" ht="75" customHeight="1" thickBot="1" x14ac:dyDescent="0.25">
      <c r="A19" s="21"/>
      <c r="B19" s="24" t="s">
        <v>49</v>
      </c>
      <c r="C19" s="88" t="s">
        <v>261</v>
      </c>
      <c r="D19" s="88"/>
      <c r="E19" s="88"/>
      <c r="F19" s="88"/>
      <c r="G19" s="88"/>
      <c r="H19" s="88"/>
      <c r="I19" s="88" t="s">
        <v>262</v>
      </c>
      <c r="J19" s="88"/>
      <c r="K19" s="88"/>
      <c r="L19" s="88" t="s">
        <v>263</v>
      </c>
      <c r="M19" s="88"/>
      <c r="N19" s="88"/>
      <c r="O19" s="88"/>
      <c r="P19" s="25" t="s">
        <v>42</v>
      </c>
      <c r="Q19" s="25" t="s">
        <v>61</v>
      </c>
      <c r="R19" s="25">
        <v>100</v>
      </c>
      <c r="S19" s="25">
        <v>100</v>
      </c>
      <c r="T19" s="25">
        <v>120.2</v>
      </c>
      <c r="U19" s="46">
        <f>120.2</f>
        <v>120.2</v>
      </c>
    </row>
    <row r="20" spans="1:22" ht="14.25" customHeight="1" thickTop="1" thickBot="1" x14ac:dyDescent="0.25">
      <c r="B20" s="4" t="s">
        <v>62</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63</v>
      </c>
      <c r="U21" s="18" t="s">
        <v>64</v>
      </c>
    </row>
    <row r="22" spans="1:22" ht="26.25" customHeight="1" thickBot="1" x14ac:dyDescent="0.25">
      <c r="B22" s="32"/>
      <c r="C22" s="33"/>
      <c r="D22" s="33"/>
      <c r="E22" s="33"/>
      <c r="F22" s="33"/>
      <c r="G22" s="33"/>
      <c r="H22" s="34"/>
      <c r="I22" s="34"/>
      <c r="J22" s="34"/>
      <c r="K22" s="34"/>
      <c r="L22" s="34"/>
      <c r="M22" s="34"/>
      <c r="N22" s="34"/>
      <c r="O22" s="34"/>
      <c r="P22" s="34"/>
      <c r="Q22" s="34"/>
      <c r="R22" s="34"/>
      <c r="S22" s="35" t="s">
        <v>65</v>
      </c>
      <c r="T22" s="36" t="s">
        <v>65</v>
      </c>
      <c r="U22" s="36" t="s">
        <v>66</v>
      </c>
    </row>
    <row r="23" spans="1:22" ht="13.5" customHeight="1" thickBot="1" x14ac:dyDescent="0.25">
      <c r="B23" s="95" t="s">
        <v>67</v>
      </c>
      <c r="C23" s="96"/>
      <c r="D23" s="96"/>
      <c r="E23" s="37"/>
      <c r="F23" s="37"/>
      <c r="G23" s="37"/>
      <c r="H23" s="38"/>
      <c r="I23" s="38"/>
      <c r="J23" s="38"/>
      <c r="K23" s="38"/>
      <c r="L23" s="38"/>
      <c r="M23" s="38"/>
      <c r="N23" s="38"/>
      <c r="O23" s="38"/>
      <c r="P23" s="39"/>
      <c r="Q23" s="39"/>
      <c r="R23" s="39"/>
      <c r="S23" s="47">
        <v>5391.6453860000001</v>
      </c>
      <c r="T23" s="47">
        <v>5733.4017157300013</v>
      </c>
      <c r="U23" s="48">
        <f>+IF(ISERR(T23/S23*100),"N/A",ROUND(T23/S23*100,1))</f>
        <v>106.3</v>
      </c>
    </row>
    <row r="24" spans="1:22" ht="13.5" customHeight="1" thickBot="1" x14ac:dyDescent="0.25">
      <c r="B24" s="97" t="s">
        <v>68</v>
      </c>
      <c r="C24" s="98"/>
      <c r="D24" s="98"/>
      <c r="E24" s="40"/>
      <c r="F24" s="40"/>
      <c r="G24" s="40"/>
      <c r="H24" s="41"/>
      <c r="I24" s="41"/>
      <c r="J24" s="41"/>
      <c r="K24" s="41"/>
      <c r="L24" s="41"/>
      <c r="M24" s="41"/>
      <c r="N24" s="41"/>
      <c r="O24" s="41"/>
      <c r="P24" s="42"/>
      <c r="Q24" s="42"/>
      <c r="R24" s="42"/>
      <c r="S24" s="47">
        <v>5733.4017157300013</v>
      </c>
      <c r="T24" s="47">
        <v>5733.4017157300013</v>
      </c>
      <c r="U24" s="48">
        <f>+IF(ISERR(T24/S24*100),"N/A",ROUND(T24/S24*100,1))</f>
        <v>100</v>
      </c>
    </row>
    <row r="25" spans="1:22" ht="14.85" customHeight="1" thickTop="1" thickBot="1" x14ac:dyDescent="0.25">
      <c r="B25" s="4" t="s">
        <v>69</v>
      </c>
      <c r="C25" s="5"/>
      <c r="D25" s="5"/>
      <c r="E25" s="5"/>
      <c r="F25" s="5"/>
      <c r="G25" s="5"/>
      <c r="H25" s="6"/>
      <c r="I25" s="6"/>
      <c r="J25" s="6"/>
      <c r="K25" s="6"/>
      <c r="L25" s="6"/>
      <c r="M25" s="6"/>
      <c r="N25" s="6"/>
      <c r="O25" s="6"/>
      <c r="P25" s="6"/>
      <c r="Q25" s="6"/>
      <c r="R25" s="6"/>
      <c r="S25" s="6"/>
      <c r="T25" s="6"/>
      <c r="U25" s="7"/>
    </row>
    <row r="26" spans="1:22" ht="44.25" customHeight="1" thickTop="1" x14ac:dyDescent="0.2">
      <c r="B26" s="99" t="s">
        <v>70</v>
      </c>
      <c r="C26" s="100"/>
      <c r="D26" s="100"/>
      <c r="E26" s="100"/>
      <c r="F26" s="100"/>
      <c r="G26" s="100"/>
      <c r="H26" s="100"/>
      <c r="I26" s="100"/>
      <c r="J26" s="100"/>
      <c r="K26" s="100"/>
      <c r="L26" s="100"/>
      <c r="M26" s="100"/>
      <c r="N26" s="100"/>
      <c r="O26" s="100"/>
      <c r="P26" s="100"/>
      <c r="Q26" s="100"/>
      <c r="R26" s="100"/>
      <c r="S26" s="100"/>
      <c r="T26" s="100"/>
      <c r="U26" s="101"/>
    </row>
    <row r="27" spans="1:22" ht="49.5" customHeight="1" x14ac:dyDescent="0.2">
      <c r="B27" s="89" t="s">
        <v>264</v>
      </c>
      <c r="C27" s="90"/>
      <c r="D27" s="90"/>
      <c r="E27" s="90"/>
      <c r="F27" s="90"/>
      <c r="G27" s="90"/>
      <c r="H27" s="90"/>
      <c r="I27" s="90"/>
      <c r="J27" s="90"/>
      <c r="K27" s="90"/>
      <c r="L27" s="90"/>
      <c r="M27" s="90"/>
      <c r="N27" s="90"/>
      <c r="O27" s="90"/>
      <c r="P27" s="90"/>
      <c r="Q27" s="90"/>
      <c r="R27" s="90"/>
      <c r="S27" s="90"/>
      <c r="T27" s="90"/>
      <c r="U27" s="91"/>
    </row>
    <row r="28" spans="1:22" ht="79.5" customHeight="1" x14ac:dyDescent="0.2">
      <c r="B28" s="89" t="s">
        <v>265</v>
      </c>
      <c r="C28" s="90"/>
      <c r="D28" s="90"/>
      <c r="E28" s="90"/>
      <c r="F28" s="90"/>
      <c r="G28" s="90"/>
      <c r="H28" s="90"/>
      <c r="I28" s="90"/>
      <c r="J28" s="90"/>
      <c r="K28" s="90"/>
      <c r="L28" s="90"/>
      <c r="M28" s="90"/>
      <c r="N28" s="90"/>
      <c r="O28" s="90"/>
      <c r="P28" s="90"/>
      <c r="Q28" s="90"/>
      <c r="R28" s="90"/>
      <c r="S28" s="90"/>
      <c r="T28" s="90"/>
      <c r="U28" s="91"/>
    </row>
    <row r="29" spans="1:22" ht="49.5" customHeight="1" x14ac:dyDescent="0.2">
      <c r="B29" s="89" t="s">
        <v>266</v>
      </c>
      <c r="C29" s="90"/>
      <c r="D29" s="90"/>
      <c r="E29" s="90"/>
      <c r="F29" s="90"/>
      <c r="G29" s="90"/>
      <c r="H29" s="90"/>
      <c r="I29" s="90"/>
      <c r="J29" s="90"/>
      <c r="K29" s="90"/>
      <c r="L29" s="90"/>
      <c r="M29" s="90"/>
      <c r="N29" s="90"/>
      <c r="O29" s="90"/>
      <c r="P29" s="90"/>
      <c r="Q29" s="90"/>
      <c r="R29" s="90"/>
      <c r="S29" s="90"/>
      <c r="T29" s="90"/>
      <c r="U29" s="91"/>
    </row>
    <row r="30" spans="1:22" ht="38.25" customHeight="1" x14ac:dyDescent="0.2">
      <c r="B30" s="89" t="s">
        <v>267</v>
      </c>
      <c r="C30" s="90"/>
      <c r="D30" s="90"/>
      <c r="E30" s="90"/>
      <c r="F30" s="90"/>
      <c r="G30" s="90"/>
      <c r="H30" s="90"/>
      <c r="I30" s="90"/>
      <c r="J30" s="90"/>
      <c r="K30" s="90"/>
      <c r="L30" s="90"/>
      <c r="M30" s="90"/>
      <c r="N30" s="90"/>
      <c r="O30" s="90"/>
      <c r="P30" s="90"/>
      <c r="Q30" s="90"/>
      <c r="R30" s="90"/>
      <c r="S30" s="90"/>
      <c r="T30" s="90"/>
      <c r="U30" s="91"/>
    </row>
    <row r="31" spans="1:22" ht="39" customHeight="1" x14ac:dyDescent="0.2">
      <c r="B31" s="89" t="s">
        <v>268</v>
      </c>
      <c r="C31" s="90"/>
      <c r="D31" s="90"/>
      <c r="E31" s="90"/>
      <c r="F31" s="90"/>
      <c r="G31" s="90"/>
      <c r="H31" s="90"/>
      <c r="I31" s="90"/>
      <c r="J31" s="90"/>
      <c r="K31" s="90"/>
      <c r="L31" s="90"/>
      <c r="M31" s="90"/>
      <c r="N31" s="90"/>
      <c r="O31" s="90"/>
      <c r="P31" s="90"/>
      <c r="Q31" s="90"/>
      <c r="R31" s="90"/>
      <c r="S31" s="90"/>
      <c r="T31" s="90"/>
      <c r="U31" s="91"/>
    </row>
    <row r="32" spans="1:22" ht="39" customHeight="1" x14ac:dyDescent="0.2">
      <c r="B32" s="89" t="s">
        <v>269</v>
      </c>
      <c r="C32" s="90"/>
      <c r="D32" s="90"/>
      <c r="E32" s="90"/>
      <c r="F32" s="90"/>
      <c r="G32" s="90"/>
      <c r="H32" s="90"/>
      <c r="I32" s="90"/>
      <c r="J32" s="90"/>
      <c r="K32" s="90"/>
      <c r="L32" s="90"/>
      <c r="M32" s="90"/>
      <c r="N32" s="90"/>
      <c r="O32" s="90"/>
      <c r="P32" s="90"/>
      <c r="Q32" s="90"/>
      <c r="R32" s="90"/>
      <c r="S32" s="90"/>
      <c r="T32" s="90"/>
      <c r="U32" s="91"/>
    </row>
    <row r="33" spans="2:21" ht="39" customHeight="1" x14ac:dyDescent="0.2">
      <c r="B33" s="89" t="s">
        <v>270</v>
      </c>
      <c r="C33" s="90"/>
      <c r="D33" s="90"/>
      <c r="E33" s="90"/>
      <c r="F33" s="90"/>
      <c r="G33" s="90"/>
      <c r="H33" s="90"/>
      <c r="I33" s="90"/>
      <c r="J33" s="90"/>
      <c r="K33" s="90"/>
      <c r="L33" s="90"/>
      <c r="M33" s="90"/>
      <c r="N33" s="90"/>
      <c r="O33" s="90"/>
      <c r="P33" s="90"/>
      <c r="Q33" s="90"/>
      <c r="R33" s="90"/>
      <c r="S33" s="90"/>
      <c r="T33" s="90"/>
      <c r="U33" s="91"/>
    </row>
    <row r="34" spans="2:21" ht="38.25" customHeight="1" x14ac:dyDescent="0.2">
      <c r="B34" s="89" t="s">
        <v>271</v>
      </c>
      <c r="C34" s="90"/>
      <c r="D34" s="90"/>
      <c r="E34" s="90"/>
      <c r="F34" s="90"/>
      <c r="G34" s="90"/>
      <c r="H34" s="90"/>
      <c r="I34" s="90"/>
      <c r="J34" s="90"/>
      <c r="K34" s="90"/>
      <c r="L34" s="90"/>
      <c r="M34" s="90"/>
      <c r="N34" s="90"/>
      <c r="O34" s="90"/>
      <c r="P34" s="90"/>
      <c r="Q34" s="90"/>
      <c r="R34" s="90"/>
      <c r="S34" s="90"/>
      <c r="T34" s="90"/>
      <c r="U34" s="91"/>
    </row>
    <row r="35" spans="2:21" ht="49.5" customHeight="1" thickBot="1" x14ac:dyDescent="0.25">
      <c r="B35" s="92" t="s">
        <v>272</v>
      </c>
      <c r="C35" s="93"/>
      <c r="D35" s="93"/>
      <c r="E35" s="93"/>
      <c r="F35" s="93"/>
      <c r="G35" s="93"/>
      <c r="H35" s="93"/>
      <c r="I35" s="93"/>
      <c r="J35" s="93"/>
      <c r="K35" s="93"/>
      <c r="L35" s="93"/>
      <c r="M35" s="93"/>
      <c r="N35" s="93"/>
      <c r="O35" s="93"/>
      <c r="P35" s="93"/>
      <c r="Q35" s="93"/>
      <c r="R35" s="93"/>
      <c r="S35" s="93"/>
      <c r="T35" s="93"/>
      <c r="U35" s="94"/>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7"/>
  <sheetViews>
    <sheetView view="pageBreakPreview" topLeftCell="L19" zoomScale="80" zoomScaleNormal="80" zoomScaleSheetLayoutView="80" workbookViewId="0">
      <selection activeCell="T24" sqref="T24:T25"/>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111" customHeight="1" thickTop="1" x14ac:dyDescent="0.2">
      <c r="B4" s="8" t="s">
        <v>6</v>
      </c>
      <c r="C4" s="9" t="s">
        <v>273</v>
      </c>
      <c r="D4" s="57" t="s">
        <v>274</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64.5" customHeight="1" thickBot="1" x14ac:dyDescent="0.25">
      <c r="B6" s="13" t="s">
        <v>16</v>
      </c>
      <c r="C6" s="60" t="s">
        <v>17</v>
      </c>
      <c r="D6" s="60"/>
      <c r="E6" s="60"/>
      <c r="F6" s="60"/>
      <c r="G6" s="60"/>
      <c r="H6" s="14"/>
      <c r="I6" s="14"/>
      <c r="J6" s="14" t="s">
        <v>18</v>
      </c>
      <c r="K6" s="60" t="s">
        <v>78</v>
      </c>
      <c r="L6" s="60"/>
      <c r="M6" s="60"/>
      <c r="N6" s="15"/>
      <c r="O6" s="16" t="s">
        <v>20</v>
      </c>
      <c r="P6" s="60" t="s">
        <v>112</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x14ac:dyDescent="0.2">
      <c r="A11" s="21"/>
      <c r="B11" s="22" t="s">
        <v>38</v>
      </c>
      <c r="C11" s="87" t="s">
        <v>275</v>
      </c>
      <c r="D11" s="87"/>
      <c r="E11" s="87"/>
      <c r="F11" s="87"/>
      <c r="G11" s="87"/>
      <c r="H11" s="87"/>
      <c r="I11" s="87" t="s">
        <v>276</v>
      </c>
      <c r="J11" s="87"/>
      <c r="K11" s="87"/>
      <c r="L11" s="87" t="s">
        <v>277</v>
      </c>
      <c r="M11" s="87"/>
      <c r="N11" s="87"/>
      <c r="O11" s="87"/>
      <c r="P11" s="23" t="s">
        <v>42</v>
      </c>
      <c r="Q11" s="23" t="s">
        <v>43</v>
      </c>
      <c r="R11" s="23">
        <v>0.71</v>
      </c>
      <c r="S11" s="23">
        <v>0.89</v>
      </c>
      <c r="T11" s="23">
        <v>1.4</v>
      </c>
      <c r="U11" s="45">
        <f>158.1</f>
        <v>158.1</v>
      </c>
    </row>
    <row r="12" spans="1:21" ht="75" customHeight="1" thickBot="1" x14ac:dyDescent="0.25">
      <c r="A12" s="21"/>
      <c r="B12" s="24" t="s">
        <v>49</v>
      </c>
      <c r="C12" s="88" t="s">
        <v>49</v>
      </c>
      <c r="D12" s="88"/>
      <c r="E12" s="88"/>
      <c r="F12" s="88"/>
      <c r="G12" s="88"/>
      <c r="H12" s="88"/>
      <c r="I12" s="88" t="s">
        <v>278</v>
      </c>
      <c r="J12" s="88"/>
      <c r="K12" s="88"/>
      <c r="L12" s="88" t="s">
        <v>279</v>
      </c>
      <c r="M12" s="88"/>
      <c r="N12" s="88"/>
      <c r="O12" s="88"/>
      <c r="P12" s="25" t="s">
        <v>42</v>
      </c>
      <c r="Q12" s="25" t="s">
        <v>43</v>
      </c>
      <c r="R12" s="25">
        <v>0.47</v>
      </c>
      <c r="S12" s="25">
        <v>0.55000000000000004</v>
      </c>
      <c r="T12" s="25">
        <v>0.69</v>
      </c>
      <c r="U12" s="46">
        <f>125.5</f>
        <v>125.5</v>
      </c>
    </row>
    <row r="13" spans="1:21" ht="92.25" customHeight="1" thickTop="1" x14ac:dyDescent="0.2">
      <c r="A13" s="21"/>
      <c r="B13" s="22" t="s">
        <v>44</v>
      </c>
      <c r="C13" s="87" t="s">
        <v>280</v>
      </c>
      <c r="D13" s="87"/>
      <c r="E13" s="87"/>
      <c r="F13" s="87"/>
      <c r="G13" s="87"/>
      <c r="H13" s="87"/>
      <c r="I13" s="87" t="s">
        <v>281</v>
      </c>
      <c r="J13" s="87"/>
      <c r="K13" s="87"/>
      <c r="L13" s="87" t="s">
        <v>282</v>
      </c>
      <c r="M13" s="87"/>
      <c r="N13" s="87"/>
      <c r="O13" s="87"/>
      <c r="P13" s="23" t="s">
        <v>42</v>
      </c>
      <c r="Q13" s="23" t="s">
        <v>43</v>
      </c>
      <c r="R13" s="23">
        <v>1.84</v>
      </c>
      <c r="S13" s="23">
        <v>1.43</v>
      </c>
      <c r="T13" s="23">
        <v>1.8</v>
      </c>
      <c r="U13" s="45">
        <f>126</f>
        <v>126</v>
      </c>
    </row>
    <row r="14" spans="1:21" ht="90.75" customHeight="1" thickBot="1" x14ac:dyDescent="0.25">
      <c r="A14" s="21"/>
      <c r="B14" s="24" t="s">
        <v>49</v>
      </c>
      <c r="C14" s="88" t="s">
        <v>49</v>
      </c>
      <c r="D14" s="88"/>
      <c r="E14" s="88"/>
      <c r="F14" s="88"/>
      <c r="G14" s="88"/>
      <c r="H14" s="88"/>
      <c r="I14" s="88" t="s">
        <v>283</v>
      </c>
      <c r="J14" s="88"/>
      <c r="K14" s="88"/>
      <c r="L14" s="88" t="s">
        <v>284</v>
      </c>
      <c r="M14" s="88"/>
      <c r="N14" s="88"/>
      <c r="O14" s="88"/>
      <c r="P14" s="25" t="s">
        <v>42</v>
      </c>
      <c r="Q14" s="25" t="s">
        <v>43</v>
      </c>
      <c r="R14" s="25">
        <v>3.08</v>
      </c>
      <c r="S14" s="25">
        <v>3.85</v>
      </c>
      <c r="T14" s="25">
        <v>6.09</v>
      </c>
      <c r="U14" s="46">
        <f>158.1</f>
        <v>158.1</v>
      </c>
    </row>
    <row r="15" spans="1:21" ht="75" customHeight="1" thickTop="1" x14ac:dyDescent="0.2">
      <c r="A15" s="21"/>
      <c r="B15" s="22" t="s">
        <v>52</v>
      </c>
      <c r="C15" s="87" t="s">
        <v>285</v>
      </c>
      <c r="D15" s="87"/>
      <c r="E15" s="87"/>
      <c r="F15" s="87"/>
      <c r="G15" s="87"/>
      <c r="H15" s="87"/>
      <c r="I15" s="87" t="s">
        <v>286</v>
      </c>
      <c r="J15" s="87"/>
      <c r="K15" s="87"/>
      <c r="L15" s="87" t="s">
        <v>287</v>
      </c>
      <c r="M15" s="87"/>
      <c r="N15" s="87"/>
      <c r="O15" s="87"/>
      <c r="P15" s="23" t="s">
        <v>42</v>
      </c>
      <c r="Q15" s="23" t="s">
        <v>43</v>
      </c>
      <c r="R15" s="23">
        <v>100</v>
      </c>
      <c r="S15" s="23">
        <v>100</v>
      </c>
      <c r="T15" s="23">
        <v>100</v>
      </c>
      <c r="U15" s="45">
        <f>100</f>
        <v>100</v>
      </c>
    </row>
    <row r="16" spans="1:21" ht="75" customHeight="1" x14ac:dyDescent="0.2">
      <c r="A16" s="21"/>
      <c r="B16" s="24" t="s">
        <v>49</v>
      </c>
      <c r="C16" s="88" t="s">
        <v>49</v>
      </c>
      <c r="D16" s="88"/>
      <c r="E16" s="88"/>
      <c r="F16" s="88"/>
      <c r="G16" s="88"/>
      <c r="H16" s="88"/>
      <c r="I16" s="88" t="s">
        <v>288</v>
      </c>
      <c r="J16" s="88"/>
      <c r="K16" s="88"/>
      <c r="L16" s="88" t="s">
        <v>289</v>
      </c>
      <c r="M16" s="88"/>
      <c r="N16" s="88"/>
      <c r="O16" s="88"/>
      <c r="P16" s="25" t="s">
        <v>42</v>
      </c>
      <c r="Q16" s="25" t="s">
        <v>43</v>
      </c>
      <c r="R16" s="25">
        <v>100</v>
      </c>
      <c r="S16" s="25">
        <v>0.55000000000000004</v>
      </c>
      <c r="T16" s="25">
        <v>100</v>
      </c>
      <c r="U16" s="46">
        <f>18181.81</f>
        <v>18181.810000000001</v>
      </c>
    </row>
    <row r="17" spans="1:22" ht="81.75" customHeight="1" x14ac:dyDescent="0.2">
      <c r="A17" s="21"/>
      <c r="B17" s="24" t="s">
        <v>49</v>
      </c>
      <c r="C17" s="88" t="s">
        <v>290</v>
      </c>
      <c r="D17" s="88"/>
      <c r="E17" s="88"/>
      <c r="F17" s="88"/>
      <c r="G17" s="88"/>
      <c r="H17" s="88"/>
      <c r="I17" s="88" t="s">
        <v>291</v>
      </c>
      <c r="J17" s="88"/>
      <c r="K17" s="88"/>
      <c r="L17" s="88" t="s">
        <v>292</v>
      </c>
      <c r="M17" s="88"/>
      <c r="N17" s="88"/>
      <c r="O17" s="88"/>
      <c r="P17" s="25" t="s">
        <v>42</v>
      </c>
      <c r="Q17" s="25" t="s">
        <v>212</v>
      </c>
      <c r="R17" s="25">
        <v>48.39</v>
      </c>
      <c r="S17" s="25">
        <v>48.39</v>
      </c>
      <c r="T17" s="25">
        <v>54.84</v>
      </c>
      <c r="U17" s="46">
        <f>113.33</f>
        <v>113.33</v>
      </c>
    </row>
    <row r="18" spans="1:22" ht="75" customHeight="1" thickBot="1" x14ac:dyDescent="0.25">
      <c r="A18" s="21"/>
      <c r="B18" s="24" t="s">
        <v>49</v>
      </c>
      <c r="C18" s="88" t="s">
        <v>293</v>
      </c>
      <c r="D18" s="88"/>
      <c r="E18" s="88"/>
      <c r="F18" s="88"/>
      <c r="G18" s="88"/>
      <c r="H18" s="88"/>
      <c r="I18" s="88" t="s">
        <v>294</v>
      </c>
      <c r="J18" s="88"/>
      <c r="K18" s="88"/>
      <c r="L18" s="88" t="s">
        <v>295</v>
      </c>
      <c r="M18" s="88"/>
      <c r="N18" s="88"/>
      <c r="O18" s="88"/>
      <c r="P18" s="25" t="s">
        <v>42</v>
      </c>
      <c r="Q18" s="25" t="s">
        <v>212</v>
      </c>
      <c r="R18" s="25">
        <v>100</v>
      </c>
      <c r="S18" s="25">
        <v>100</v>
      </c>
      <c r="T18" s="25">
        <v>100</v>
      </c>
      <c r="U18" s="46">
        <f>100</f>
        <v>100</v>
      </c>
    </row>
    <row r="19" spans="1:22" ht="63" customHeight="1" thickTop="1" x14ac:dyDescent="0.2">
      <c r="A19" s="21"/>
      <c r="B19" s="22" t="s">
        <v>57</v>
      </c>
      <c r="C19" s="87" t="s">
        <v>296</v>
      </c>
      <c r="D19" s="87"/>
      <c r="E19" s="87"/>
      <c r="F19" s="87"/>
      <c r="G19" s="87"/>
      <c r="H19" s="87"/>
      <c r="I19" s="87" t="s">
        <v>297</v>
      </c>
      <c r="J19" s="87"/>
      <c r="K19" s="87"/>
      <c r="L19" s="87" t="s">
        <v>298</v>
      </c>
      <c r="M19" s="87"/>
      <c r="N19" s="87"/>
      <c r="O19" s="87"/>
      <c r="P19" s="23" t="s">
        <v>42</v>
      </c>
      <c r="Q19" s="23" t="s">
        <v>299</v>
      </c>
      <c r="R19" s="23">
        <v>100</v>
      </c>
      <c r="S19" s="23">
        <v>100</v>
      </c>
      <c r="T19" s="23">
        <v>106.9</v>
      </c>
      <c r="U19" s="45">
        <f>106.9</f>
        <v>106.9</v>
      </c>
    </row>
    <row r="20" spans="1:22" ht="61.5" customHeight="1" thickBot="1" x14ac:dyDescent="0.25">
      <c r="A20" s="21"/>
      <c r="B20" s="24" t="s">
        <v>49</v>
      </c>
      <c r="C20" s="88" t="s">
        <v>300</v>
      </c>
      <c r="D20" s="88"/>
      <c r="E20" s="88"/>
      <c r="F20" s="88"/>
      <c r="G20" s="88"/>
      <c r="H20" s="88"/>
      <c r="I20" s="88" t="s">
        <v>301</v>
      </c>
      <c r="J20" s="88"/>
      <c r="K20" s="88"/>
      <c r="L20" s="88" t="s">
        <v>302</v>
      </c>
      <c r="M20" s="88"/>
      <c r="N20" s="88"/>
      <c r="O20" s="88"/>
      <c r="P20" s="25" t="s">
        <v>42</v>
      </c>
      <c r="Q20" s="25" t="s">
        <v>303</v>
      </c>
      <c r="R20" s="25">
        <v>100</v>
      </c>
      <c r="S20" s="25">
        <v>100</v>
      </c>
      <c r="T20" s="25">
        <v>100</v>
      </c>
      <c r="U20" s="46">
        <f>100</f>
        <v>100</v>
      </c>
    </row>
    <row r="21" spans="1:22" ht="14.25" customHeight="1" thickTop="1" thickBot="1" x14ac:dyDescent="0.25">
      <c r="B21" s="4" t="s">
        <v>62</v>
      </c>
      <c r="C21" s="5"/>
      <c r="D21" s="5"/>
      <c r="E21" s="5"/>
      <c r="F21" s="5"/>
      <c r="G21" s="5"/>
      <c r="H21" s="6"/>
      <c r="I21" s="6"/>
      <c r="J21" s="6"/>
      <c r="K21" s="6"/>
      <c r="L21" s="6"/>
      <c r="M21" s="6"/>
      <c r="N21" s="6"/>
      <c r="O21" s="6"/>
      <c r="P21" s="6"/>
      <c r="Q21" s="6"/>
      <c r="R21" s="6"/>
      <c r="S21" s="6"/>
      <c r="T21" s="6"/>
      <c r="U21" s="7"/>
      <c r="V21" s="26"/>
    </row>
    <row r="22" spans="1:22" ht="26.25" customHeight="1" thickTop="1" x14ac:dyDescent="0.2">
      <c r="B22" s="27"/>
      <c r="C22" s="28"/>
      <c r="D22" s="28"/>
      <c r="E22" s="28"/>
      <c r="F22" s="28"/>
      <c r="G22" s="28"/>
      <c r="H22" s="29"/>
      <c r="I22" s="29"/>
      <c r="J22" s="29"/>
      <c r="K22" s="29"/>
      <c r="L22" s="29"/>
      <c r="M22" s="29"/>
      <c r="N22" s="29"/>
      <c r="O22" s="29"/>
      <c r="P22" s="29"/>
      <c r="Q22" s="29"/>
      <c r="R22" s="30"/>
      <c r="S22" s="31" t="s">
        <v>33</v>
      </c>
      <c r="T22" s="31" t="s">
        <v>63</v>
      </c>
      <c r="U22" s="18" t="s">
        <v>64</v>
      </c>
    </row>
    <row r="23" spans="1:22" ht="26.25" customHeight="1" thickBot="1" x14ac:dyDescent="0.25">
      <c r="B23" s="32"/>
      <c r="C23" s="33"/>
      <c r="D23" s="33"/>
      <c r="E23" s="33"/>
      <c r="F23" s="33"/>
      <c r="G23" s="33"/>
      <c r="H23" s="34"/>
      <c r="I23" s="34"/>
      <c r="J23" s="34"/>
      <c r="K23" s="34"/>
      <c r="L23" s="34"/>
      <c r="M23" s="34"/>
      <c r="N23" s="34"/>
      <c r="O23" s="34"/>
      <c r="P23" s="34"/>
      <c r="Q23" s="34"/>
      <c r="R23" s="34"/>
      <c r="S23" s="35" t="s">
        <v>65</v>
      </c>
      <c r="T23" s="36" t="s">
        <v>65</v>
      </c>
      <c r="U23" s="36" t="s">
        <v>66</v>
      </c>
    </row>
    <row r="24" spans="1:22" ht="13.5" customHeight="1" thickBot="1" x14ac:dyDescent="0.25">
      <c r="B24" s="95" t="s">
        <v>67</v>
      </c>
      <c r="C24" s="96"/>
      <c r="D24" s="96"/>
      <c r="E24" s="37"/>
      <c r="F24" s="37"/>
      <c r="G24" s="37"/>
      <c r="H24" s="38"/>
      <c r="I24" s="38"/>
      <c r="J24" s="38"/>
      <c r="K24" s="38"/>
      <c r="L24" s="38"/>
      <c r="M24" s="38"/>
      <c r="N24" s="38"/>
      <c r="O24" s="38"/>
      <c r="P24" s="39"/>
      <c r="Q24" s="39"/>
      <c r="R24" s="39"/>
      <c r="S24" s="47">
        <v>2696.4200030000002</v>
      </c>
      <c r="T24" s="47">
        <v>2889.2965425799998</v>
      </c>
      <c r="U24" s="48">
        <f>+IF(ISERR(T24/S24*100),"N/A",ROUND(T24/S24*100,1))</f>
        <v>107.2</v>
      </c>
    </row>
    <row r="25" spans="1:22" ht="13.5" customHeight="1" thickBot="1" x14ac:dyDescent="0.25">
      <c r="B25" s="97" t="s">
        <v>68</v>
      </c>
      <c r="C25" s="98"/>
      <c r="D25" s="98"/>
      <c r="E25" s="40"/>
      <c r="F25" s="40"/>
      <c r="G25" s="40"/>
      <c r="H25" s="41"/>
      <c r="I25" s="41"/>
      <c r="J25" s="41"/>
      <c r="K25" s="41"/>
      <c r="L25" s="41"/>
      <c r="M25" s="41"/>
      <c r="N25" s="41"/>
      <c r="O25" s="41"/>
      <c r="P25" s="42"/>
      <c r="Q25" s="42"/>
      <c r="R25" s="42"/>
      <c r="S25" s="47">
        <v>2889.3097538199995</v>
      </c>
      <c r="T25" s="47">
        <v>2889.2965425799998</v>
      </c>
      <c r="U25" s="48">
        <f>+IF(ISERR(T25/S25*100),"N/A",ROUND(T25/S25*100,1))</f>
        <v>100</v>
      </c>
    </row>
    <row r="26" spans="1:22" ht="14.85" customHeight="1" thickTop="1" thickBot="1" x14ac:dyDescent="0.25">
      <c r="B26" s="4" t="s">
        <v>69</v>
      </c>
      <c r="C26" s="5"/>
      <c r="D26" s="5"/>
      <c r="E26" s="5"/>
      <c r="F26" s="5"/>
      <c r="G26" s="5"/>
      <c r="H26" s="6"/>
      <c r="I26" s="6"/>
      <c r="J26" s="6"/>
      <c r="K26" s="6"/>
      <c r="L26" s="6"/>
      <c r="M26" s="6"/>
      <c r="N26" s="6"/>
      <c r="O26" s="6"/>
      <c r="P26" s="6"/>
      <c r="Q26" s="6"/>
      <c r="R26" s="6"/>
      <c r="S26" s="6"/>
      <c r="T26" s="6"/>
      <c r="U26" s="7"/>
    </row>
    <row r="27" spans="1:22" ht="44.25" customHeight="1" thickTop="1" x14ac:dyDescent="0.2">
      <c r="B27" s="99" t="s">
        <v>70</v>
      </c>
      <c r="C27" s="100"/>
      <c r="D27" s="100"/>
      <c r="E27" s="100"/>
      <c r="F27" s="100"/>
      <c r="G27" s="100"/>
      <c r="H27" s="100"/>
      <c r="I27" s="100"/>
      <c r="J27" s="100"/>
      <c r="K27" s="100"/>
      <c r="L27" s="100"/>
      <c r="M27" s="100"/>
      <c r="N27" s="100"/>
      <c r="O27" s="100"/>
      <c r="P27" s="100"/>
      <c r="Q27" s="100"/>
      <c r="R27" s="100"/>
      <c r="S27" s="100"/>
      <c r="T27" s="100"/>
      <c r="U27" s="101"/>
    </row>
    <row r="28" spans="1:22" ht="137.25" customHeight="1" x14ac:dyDescent="0.2">
      <c r="B28" s="89" t="s">
        <v>304</v>
      </c>
      <c r="C28" s="90"/>
      <c r="D28" s="90"/>
      <c r="E28" s="90"/>
      <c r="F28" s="90"/>
      <c r="G28" s="90"/>
      <c r="H28" s="90"/>
      <c r="I28" s="90"/>
      <c r="J28" s="90"/>
      <c r="K28" s="90"/>
      <c r="L28" s="90"/>
      <c r="M28" s="90"/>
      <c r="N28" s="90"/>
      <c r="O28" s="90"/>
      <c r="P28" s="90"/>
      <c r="Q28" s="90"/>
      <c r="R28" s="90"/>
      <c r="S28" s="90"/>
      <c r="T28" s="90"/>
      <c r="U28" s="91"/>
    </row>
    <row r="29" spans="1:22" ht="107.45" customHeight="1" x14ac:dyDescent="0.2">
      <c r="B29" s="89" t="s">
        <v>305</v>
      </c>
      <c r="C29" s="90"/>
      <c r="D29" s="90"/>
      <c r="E29" s="90"/>
      <c r="F29" s="90"/>
      <c r="G29" s="90"/>
      <c r="H29" s="90"/>
      <c r="I29" s="90"/>
      <c r="J29" s="90"/>
      <c r="K29" s="90"/>
      <c r="L29" s="90"/>
      <c r="M29" s="90"/>
      <c r="N29" s="90"/>
      <c r="O29" s="90"/>
      <c r="P29" s="90"/>
      <c r="Q29" s="90"/>
      <c r="R29" s="90"/>
      <c r="S29" s="90"/>
      <c r="T29" s="90"/>
      <c r="U29" s="91"/>
    </row>
    <row r="30" spans="1:22" ht="134.25" customHeight="1" x14ac:dyDescent="0.2">
      <c r="B30" s="89" t="s">
        <v>306</v>
      </c>
      <c r="C30" s="90"/>
      <c r="D30" s="90"/>
      <c r="E30" s="90"/>
      <c r="F30" s="90"/>
      <c r="G30" s="90"/>
      <c r="H30" s="90"/>
      <c r="I30" s="90"/>
      <c r="J30" s="90"/>
      <c r="K30" s="90"/>
      <c r="L30" s="90"/>
      <c r="M30" s="90"/>
      <c r="N30" s="90"/>
      <c r="O30" s="90"/>
      <c r="P30" s="90"/>
      <c r="Q30" s="90"/>
      <c r="R30" s="90"/>
      <c r="S30" s="90"/>
      <c r="T30" s="90"/>
      <c r="U30" s="91"/>
    </row>
    <row r="31" spans="1:22" ht="135.19999999999999" customHeight="1" x14ac:dyDescent="0.2">
      <c r="B31" s="89" t="s">
        <v>307</v>
      </c>
      <c r="C31" s="90"/>
      <c r="D31" s="90"/>
      <c r="E31" s="90"/>
      <c r="F31" s="90"/>
      <c r="G31" s="90"/>
      <c r="H31" s="90"/>
      <c r="I31" s="90"/>
      <c r="J31" s="90"/>
      <c r="K31" s="90"/>
      <c r="L31" s="90"/>
      <c r="M31" s="90"/>
      <c r="N31" s="90"/>
      <c r="O31" s="90"/>
      <c r="P31" s="90"/>
      <c r="Q31" s="90"/>
      <c r="R31" s="90"/>
      <c r="S31" s="90"/>
      <c r="T31" s="90"/>
      <c r="U31" s="91"/>
    </row>
    <row r="32" spans="1:22" ht="73.5" customHeight="1" x14ac:dyDescent="0.2">
      <c r="B32" s="89" t="s">
        <v>308</v>
      </c>
      <c r="C32" s="90"/>
      <c r="D32" s="90"/>
      <c r="E32" s="90"/>
      <c r="F32" s="90"/>
      <c r="G32" s="90"/>
      <c r="H32" s="90"/>
      <c r="I32" s="90"/>
      <c r="J32" s="90"/>
      <c r="K32" s="90"/>
      <c r="L32" s="90"/>
      <c r="M32" s="90"/>
      <c r="N32" s="90"/>
      <c r="O32" s="90"/>
      <c r="P32" s="90"/>
      <c r="Q32" s="90"/>
      <c r="R32" s="90"/>
      <c r="S32" s="90"/>
      <c r="T32" s="90"/>
      <c r="U32" s="91"/>
    </row>
    <row r="33" spans="2:21" ht="73.5" customHeight="1" x14ac:dyDescent="0.2">
      <c r="B33" s="89" t="s">
        <v>309</v>
      </c>
      <c r="C33" s="90"/>
      <c r="D33" s="90"/>
      <c r="E33" s="90"/>
      <c r="F33" s="90"/>
      <c r="G33" s="90"/>
      <c r="H33" s="90"/>
      <c r="I33" s="90"/>
      <c r="J33" s="90"/>
      <c r="K33" s="90"/>
      <c r="L33" s="90"/>
      <c r="M33" s="90"/>
      <c r="N33" s="90"/>
      <c r="O33" s="90"/>
      <c r="P33" s="90"/>
      <c r="Q33" s="90"/>
      <c r="R33" s="90"/>
      <c r="S33" s="90"/>
      <c r="T33" s="90"/>
      <c r="U33" s="91"/>
    </row>
    <row r="34" spans="2:21" ht="69.75" customHeight="1" x14ac:dyDescent="0.2">
      <c r="B34" s="89" t="s">
        <v>310</v>
      </c>
      <c r="C34" s="90"/>
      <c r="D34" s="90"/>
      <c r="E34" s="90"/>
      <c r="F34" s="90"/>
      <c r="G34" s="90"/>
      <c r="H34" s="90"/>
      <c r="I34" s="90"/>
      <c r="J34" s="90"/>
      <c r="K34" s="90"/>
      <c r="L34" s="90"/>
      <c r="M34" s="90"/>
      <c r="N34" s="90"/>
      <c r="O34" s="90"/>
      <c r="P34" s="90"/>
      <c r="Q34" s="90"/>
      <c r="R34" s="90"/>
      <c r="S34" s="90"/>
      <c r="T34" s="90"/>
      <c r="U34" s="91"/>
    </row>
    <row r="35" spans="2:21" ht="99" customHeight="1" x14ac:dyDescent="0.2">
      <c r="B35" s="89" t="s">
        <v>311</v>
      </c>
      <c r="C35" s="90"/>
      <c r="D35" s="90"/>
      <c r="E35" s="90"/>
      <c r="F35" s="90"/>
      <c r="G35" s="90"/>
      <c r="H35" s="90"/>
      <c r="I35" s="90"/>
      <c r="J35" s="90"/>
      <c r="K35" s="90"/>
      <c r="L35" s="90"/>
      <c r="M35" s="90"/>
      <c r="N35" s="90"/>
      <c r="O35" s="90"/>
      <c r="P35" s="90"/>
      <c r="Q35" s="90"/>
      <c r="R35" s="90"/>
      <c r="S35" s="90"/>
      <c r="T35" s="90"/>
      <c r="U35" s="91"/>
    </row>
    <row r="36" spans="2:21" ht="81.75" customHeight="1" x14ac:dyDescent="0.2">
      <c r="B36" s="89" t="s">
        <v>312</v>
      </c>
      <c r="C36" s="90"/>
      <c r="D36" s="90"/>
      <c r="E36" s="90"/>
      <c r="F36" s="90"/>
      <c r="G36" s="90"/>
      <c r="H36" s="90"/>
      <c r="I36" s="90"/>
      <c r="J36" s="90"/>
      <c r="K36" s="90"/>
      <c r="L36" s="90"/>
      <c r="M36" s="90"/>
      <c r="N36" s="90"/>
      <c r="O36" s="90"/>
      <c r="P36" s="90"/>
      <c r="Q36" s="90"/>
      <c r="R36" s="90"/>
      <c r="S36" s="90"/>
      <c r="T36" s="90"/>
      <c r="U36" s="91"/>
    </row>
    <row r="37" spans="2:21" ht="130.5" customHeight="1" thickBot="1" x14ac:dyDescent="0.25">
      <c r="B37" s="92" t="s">
        <v>313</v>
      </c>
      <c r="C37" s="93"/>
      <c r="D37" s="93"/>
      <c r="E37" s="93"/>
      <c r="F37" s="93"/>
      <c r="G37" s="93"/>
      <c r="H37" s="93"/>
      <c r="I37" s="93"/>
      <c r="J37" s="93"/>
      <c r="K37" s="93"/>
      <c r="L37" s="93"/>
      <c r="M37" s="93"/>
      <c r="N37" s="93"/>
      <c r="O37" s="93"/>
      <c r="P37" s="93"/>
      <c r="Q37" s="93"/>
      <c r="R37" s="93"/>
      <c r="S37" s="93"/>
      <c r="T37" s="93"/>
      <c r="U37" s="94"/>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55"/>
  <sheetViews>
    <sheetView view="pageBreakPreview" topLeftCell="N28" zoomScale="80" zoomScaleNormal="80" zoomScaleSheetLayoutView="80" workbookViewId="0">
      <selection activeCell="S33" sqref="S33:U34"/>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92.25" customHeight="1" thickTop="1" x14ac:dyDescent="0.2">
      <c r="B4" s="8" t="s">
        <v>6</v>
      </c>
      <c r="C4" s="9" t="s">
        <v>314</v>
      </c>
      <c r="D4" s="57" t="s">
        <v>315</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71.25" customHeight="1" thickBot="1" x14ac:dyDescent="0.25">
      <c r="B6" s="13" t="s">
        <v>16</v>
      </c>
      <c r="C6" s="60" t="s">
        <v>316</v>
      </c>
      <c r="D6" s="60"/>
      <c r="E6" s="60"/>
      <c r="F6" s="60"/>
      <c r="G6" s="60"/>
      <c r="H6" s="14"/>
      <c r="I6" s="14"/>
      <c r="J6" s="14" t="s">
        <v>18</v>
      </c>
      <c r="K6" s="60" t="s">
        <v>317</v>
      </c>
      <c r="L6" s="60"/>
      <c r="M6" s="60"/>
      <c r="N6" s="15"/>
      <c r="O6" s="16" t="s">
        <v>20</v>
      </c>
      <c r="P6" s="60" t="s">
        <v>318</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12.5" customHeight="1" thickTop="1" thickBot="1" x14ac:dyDescent="0.25">
      <c r="A11" s="21"/>
      <c r="B11" s="22" t="s">
        <v>38</v>
      </c>
      <c r="C11" s="87" t="s">
        <v>319</v>
      </c>
      <c r="D11" s="87"/>
      <c r="E11" s="87"/>
      <c r="F11" s="87"/>
      <c r="G11" s="87"/>
      <c r="H11" s="87"/>
      <c r="I11" s="87" t="s">
        <v>320</v>
      </c>
      <c r="J11" s="87"/>
      <c r="K11" s="87"/>
      <c r="L11" s="87" t="s">
        <v>321</v>
      </c>
      <c r="M11" s="87"/>
      <c r="N11" s="87"/>
      <c r="O11" s="87"/>
      <c r="P11" s="23" t="s">
        <v>42</v>
      </c>
      <c r="Q11" s="23" t="s">
        <v>43</v>
      </c>
      <c r="R11" s="23">
        <v>81.63</v>
      </c>
      <c r="S11" s="23">
        <v>80.900000000000006</v>
      </c>
      <c r="T11" s="23">
        <v>86.27</v>
      </c>
      <c r="U11" s="45">
        <f>106.64</f>
        <v>106.64</v>
      </c>
    </row>
    <row r="12" spans="1:21" ht="113.25" customHeight="1" thickTop="1" x14ac:dyDescent="0.2">
      <c r="A12" s="21"/>
      <c r="B12" s="22" t="s">
        <v>44</v>
      </c>
      <c r="C12" s="87" t="s">
        <v>322</v>
      </c>
      <c r="D12" s="87"/>
      <c r="E12" s="87"/>
      <c r="F12" s="87"/>
      <c r="G12" s="87"/>
      <c r="H12" s="87"/>
      <c r="I12" s="87" t="s">
        <v>323</v>
      </c>
      <c r="J12" s="87"/>
      <c r="K12" s="87"/>
      <c r="L12" s="87" t="s">
        <v>324</v>
      </c>
      <c r="M12" s="87"/>
      <c r="N12" s="87"/>
      <c r="O12" s="87"/>
      <c r="P12" s="23" t="s">
        <v>42</v>
      </c>
      <c r="Q12" s="23" t="s">
        <v>43</v>
      </c>
      <c r="R12" s="23">
        <v>57.45</v>
      </c>
      <c r="S12" s="23">
        <v>60</v>
      </c>
      <c r="T12" s="23">
        <v>62.55</v>
      </c>
      <c r="U12" s="45">
        <f>104.25</f>
        <v>104.25</v>
      </c>
    </row>
    <row r="13" spans="1:21" ht="75" customHeight="1" x14ac:dyDescent="0.2">
      <c r="A13" s="21"/>
      <c r="B13" s="24" t="s">
        <v>49</v>
      </c>
      <c r="C13" s="88" t="s">
        <v>49</v>
      </c>
      <c r="D13" s="88"/>
      <c r="E13" s="88"/>
      <c r="F13" s="88"/>
      <c r="G13" s="88"/>
      <c r="H13" s="88"/>
      <c r="I13" s="88" t="s">
        <v>325</v>
      </c>
      <c r="J13" s="88"/>
      <c r="K13" s="88"/>
      <c r="L13" s="88" t="s">
        <v>326</v>
      </c>
      <c r="M13" s="88"/>
      <c r="N13" s="88"/>
      <c r="O13" s="88"/>
      <c r="P13" s="25" t="s">
        <v>42</v>
      </c>
      <c r="Q13" s="25" t="s">
        <v>327</v>
      </c>
      <c r="R13" s="25">
        <v>100</v>
      </c>
      <c r="S13" s="25">
        <v>100</v>
      </c>
      <c r="T13" s="25">
        <v>91.75</v>
      </c>
      <c r="U13" s="46">
        <f>91.75</f>
        <v>91.75</v>
      </c>
    </row>
    <row r="14" spans="1:21" ht="105" customHeight="1" x14ac:dyDescent="0.2">
      <c r="A14" s="21"/>
      <c r="B14" s="24" t="s">
        <v>49</v>
      </c>
      <c r="C14" s="88" t="s">
        <v>49</v>
      </c>
      <c r="D14" s="88"/>
      <c r="E14" s="88"/>
      <c r="F14" s="88"/>
      <c r="G14" s="88"/>
      <c r="H14" s="88"/>
      <c r="I14" s="88" t="s">
        <v>328</v>
      </c>
      <c r="J14" s="88"/>
      <c r="K14" s="88"/>
      <c r="L14" s="88" t="s">
        <v>329</v>
      </c>
      <c r="M14" s="88"/>
      <c r="N14" s="88"/>
      <c r="O14" s="88"/>
      <c r="P14" s="25" t="s">
        <v>42</v>
      </c>
      <c r="Q14" s="25" t="s">
        <v>56</v>
      </c>
      <c r="R14" s="25">
        <v>100</v>
      </c>
      <c r="S14" s="25">
        <v>100</v>
      </c>
      <c r="T14" s="25">
        <v>78.099999999999994</v>
      </c>
      <c r="U14" s="46">
        <f>78.1</f>
        <v>78.099999999999994</v>
      </c>
    </row>
    <row r="15" spans="1:21" ht="127.5" customHeight="1" thickBot="1" x14ac:dyDescent="0.25">
      <c r="A15" s="21"/>
      <c r="B15" s="24" t="s">
        <v>49</v>
      </c>
      <c r="C15" s="88" t="s">
        <v>49</v>
      </c>
      <c r="D15" s="88"/>
      <c r="E15" s="88"/>
      <c r="F15" s="88"/>
      <c r="G15" s="88"/>
      <c r="H15" s="88"/>
      <c r="I15" s="88" t="s">
        <v>330</v>
      </c>
      <c r="J15" s="88"/>
      <c r="K15" s="88"/>
      <c r="L15" s="88" t="s">
        <v>331</v>
      </c>
      <c r="M15" s="88"/>
      <c r="N15" s="88"/>
      <c r="O15" s="88"/>
      <c r="P15" s="25" t="s">
        <v>42</v>
      </c>
      <c r="Q15" s="25" t="s">
        <v>43</v>
      </c>
      <c r="R15" s="25">
        <v>20.68</v>
      </c>
      <c r="S15" s="25">
        <v>23.45</v>
      </c>
      <c r="T15" s="25">
        <v>18.8</v>
      </c>
      <c r="U15" s="46">
        <f>80</f>
        <v>80</v>
      </c>
    </row>
    <row r="16" spans="1:21" ht="75" customHeight="1" thickTop="1" x14ac:dyDescent="0.2">
      <c r="A16" s="21"/>
      <c r="B16" s="22" t="s">
        <v>52</v>
      </c>
      <c r="C16" s="87" t="s">
        <v>332</v>
      </c>
      <c r="D16" s="87"/>
      <c r="E16" s="87"/>
      <c r="F16" s="87"/>
      <c r="G16" s="87"/>
      <c r="H16" s="87"/>
      <c r="I16" s="87" t="s">
        <v>333</v>
      </c>
      <c r="J16" s="87"/>
      <c r="K16" s="87"/>
      <c r="L16" s="87" t="s">
        <v>334</v>
      </c>
      <c r="M16" s="87"/>
      <c r="N16" s="87"/>
      <c r="O16" s="87"/>
      <c r="P16" s="23" t="s">
        <v>42</v>
      </c>
      <c r="Q16" s="23" t="s">
        <v>56</v>
      </c>
      <c r="R16" s="23">
        <v>80</v>
      </c>
      <c r="S16" s="23">
        <v>100</v>
      </c>
      <c r="T16" s="23">
        <v>100.78</v>
      </c>
      <c r="U16" s="45">
        <f>100.78</f>
        <v>100.78</v>
      </c>
    </row>
    <row r="17" spans="1:22" ht="75" customHeight="1" x14ac:dyDescent="0.2">
      <c r="A17" s="21"/>
      <c r="B17" s="24" t="s">
        <v>49</v>
      </c>
      <c r="C17" s="88" t="s">
        <v>49</v>
      </c>
      <c r="D17" s="88"/>
      <c r="E17" s="88"/>
      <c r="F17" s="88"/>
      <c r="G17" s="88"/>
      <c r="H17" s="88"/>
      <c r="I17" s="88" t="s">
        <v>335</v>
      </c>
      <c r="J17" s="88"/>
      <c r="K17" s="88"/>
      <c r="L17" s="88" t="s">
        <v>336</v>
      </c>
      <c r="M17" s="88"/>
      <c r="N17" s="88"/>
      <c r="O17" s="88"/>
      <c r="P17" s="25" t="s">
        <v>42</v>
      </c>
      <c r="Q17" s="25" t="s">
        <v>56</v>
      </c>
      <c r="R17" s="25">
        <v>20</v>
      </c>
      <c r="S17" s="25">
        <v>100</v>
      </c>
      <c r="T17" s="25">
        <v>50.61</v>
      </c>
      <c r="U17" s="46">
        <f>50.61</f>
        <v>50.61</v>
      </c>
    </row>
    <row r="18" spans="1:22" ht="138.75" customHeight="1" x14ac:dyDescent="0.2">
      <c r="A18" s="21"/>
      <c r="B18" s="24" t="s">
        <v>49</v>
      </c>
      <c r="C18" s="88" t="s">
        <v>49</v>
      </c>
      <c r="D18" s="88"/>
      <c r="E18" s="88"/>
      <c r="F18" s="88"/>
      <c r="G18" s="88"/>
      <c r="H18" s="88"/>
      <c r="I18" s="88" t="s">
        <v>337</v>
      </c>
      <c r="J18" s="88"/>
      <c r="K18" s="88"/>
      <c r="L18" s="88" t="s">
        <v>338</v>
      </c>
      <c r="M18" s="88"/>
      <c r="N18" s="88"/>
      <c r="O18" s="88"/>
      <c r="P18" s="25" t="s">
        <v>42</v>
      </c>
      <c r="Q18" s="25" t="s">
        <v>43</v>
      </c>
      <c r="R18" s="25">
        <v>100</v>
      </c>
      <c r="S18" s="25">
        <v>100</v>
      </c>
      <c r="T18" s="25">
        <v>59.94</v>
      </c>
      <c r="U18" s="46">
        <f>59.94</f>
        <v>59.94</v>
      </c>
    </row>
    <row r="19" spans="1:22" ht="75" customHeight="1" x14ac:dyDescent="0.2">
      <c r="A19" s="21"/>
      <c r="B19" s="24" t="s">
        <v>49</v>
      </c>
      <c r="C19" s="88" t="s">
        <v>49</v>
      </c>
      <c r="D19" s="88"/>
      <c r="E19" s="88"/>
      <c r="F19" s="88"/>
      <c r="G19" s="88"/>
      <c r="H19" s="88"/>
      <c r="I19" s="88" t="s">
        <v>339</v>
      </c>
      <c r="J19" s="88"/>
      <c r="K19" s="88"/>
      <c r="L19" s="88" t="s">
        <v>340</v>
      </c>
      <c r="M19" s="88"/>
      <c r="N19" s="88"/>
      <c r="O19" s="88"/>
      <c r="P19" s="25" t="s">
        <v>42</v>
      </c>
      <c r="Q19" s="25" t="s">
        <v>56</v>
      </c>
      <c r="R19" s="25">
        <v>100</v>
      </c>
      <c r="S19" s="25">
        <v>100</v>
      </c>
      <c r="T19" s="25">
        <v>27.27</v>
      </c>
      <c r="U19" s="46">
        <f>27.27</f>
        <v>27.27</v>
      </c>
    </row>
    <row r="20" spans="1:22" ht="75" customHeight="1" x14ac:dyDescent="0.2">
      <c r="A20" s="21"/>
      <c r="B20" s="24" t="s">
        <v>49</v>
      </c>
      <c r="C20" s="88" t="s">
        <v>49</v>
      </c>
      <c r="D20" s="88"/>
      <c r="E20" s="88"/>
      <c r="F20" s="88"/>
      <c r="G20" s="88"/>
      <c r="H20" s="88"/>
      <c r="I20" s="88" t="s">
        <v>341</v>
      </c>
      <c r="J20" s="88"/>
      <c r="K20" s="88"/>
      <c r="L20" s="88" t="s">
        <v>342</v>
      </c>
      <c r="M20" s="88"/>
      <c r="N20" s="88"/>
      <c r="O20" s="88"/>
      <c r="P20" s="25" t="s">
        <v>42</v>
      </c>
      <c r="Q20" s="25" t="s">
        <v>56</v>
      </c>
      <c r="R20" s="25">
        <v>100</v>
      </c>
      <c r="S20" s="25">
        <v>100</v>
      </c>
      <c r="T20" s="25">
        <v>78.760000000000005</v>
      </c>
      <c r="U20" s="46">
        <f>78.76</f>
        <v>78.760000000000005</v>
      </c>
    </row>
    <row r="21" spans="1:22" ht="75" customHeight="1" thickBot="1" x14ac:dyDescent="0.25">
      <c r="A21" s="21"/>
      <c r="B21" s="24" t="s">
        <v>49</v>
      </c>
      <c r="C21" s="88" t="s">
        <v>49</v>
      </c>
      <c r="D21" s="88"/>
      <c r="E21" s="88"/>
      <c r="F21" s="88"/>
      <c r="G21" s="88"/>
      <c r="H21" s="88"/>
      <c r="I21" s="88" t="s">
        <v>343</v>
      </c>
      <c r="J21" s="88"/>
      <c r="K21" s="88"/>
      <c r="L21" s="88" t="s">
        <v>344</v>
      </c>
      <c r="M21" s="88"/>
      <c r="N21" s="88"/>
      <c r="O21" s="88"/>
      <c r="P21" s="25" t="s">
        <v>42</v>
      </c>
      <c r="Q21" s="25" t="s">
        <v>56</v>
      </c>
      <c r="R21" s="25">
        <v>100</v>
      </c>
      <c r="S21" s="25">
        <v>100</v>
      </c>
      <c r="T21" s="25">
        <v>30</v>
      </c>
      <c r="U21" s="46">
        <f>30</f>
        <v>30</v>
      </c>
    </row>
    <row r="22" spans="1:22" ht="94.5" customHeight="1" thickTop="1" x14ac:dyDescent="0.2">
      <c r="A22" s="21"/>
      <c r="B22" s="22" t="s">
        <v>57</v>
      </c>
      <c r="C22" s="87" t="s">
        <v>345</v>
      </c>
      <c r="D22" s="87"/>
      <c r="E22" s="87"/>
      <c r="F22" s="87"/>
      <c r="G22" s="87"/>
      <c r="H22" s="87"/>
      <c r="I22" s="87" t="s">
        <v>346</v>
      </c>
      <c r="J22" s="87"/>
      <c r="K22" s="87"/>
      <c r="L22" s="87" t="s">
        <v>347</v>
      </c>
      <c r="M22" s="87"/>
      <c r="N22" s="87"/>
      <c r="O22" s="87"/>
      <c r="P22" s="23" t="s">
        <v>42</v>
      </c>
      <c r="Q22" s="23" t="s">
        <v>303</v>
      </c>
      <c r="R22" s="23">
        <v>100</v>
      </c>
      <c r="S22" s="23">
        <v>100</v>
      </c>
      <c r="T22" s="23">
        <v>85.76</v>
      </c>
      <c r="U22" s="45">
        <f>85.76</f>
        <v>85.76</v>
      </c>
    </row>
    <row r="23" spans="1:22" ht="75" customHeight="1" x14ac:dyDescent="0.2">
      <c r="A23" s="21"/>
      <c r="B23" s="24" t="s">
        <v>49</v>
      </c>
      <c r="C23" s="88" t="s">
        <v>49</v>
      </c>
      <c r="D23" s="88"/>
      <c r="E23" s="88"/>
      <c r="F23" s="88"/>
      <c r="G23" s="88"/>
      <c r="H23" s="88"/>
      <c r="I23" s="88" t="s">
        <v>348</v>
      </c>
      <c r="J23" s="88"/>
      <c r="K23" s="88"/>
      <c r="L23" s="88" t="s">
        <v>349</v>
      </c>
      <c r="M23" s="88"/>
      <c r="N23" s="88"/>
      <c r="O23" s="88"/>
      <c r="P23" s="25" t="s">
        <v>42</v>
      </c>
      <c r="Q23" s="25" t="s">
        <v>350</v>
      </c>
      <c r="R23" s="25">
        <v>100</v>
      </c>
      <c r="S23" s="25">
        <v>100</v>
      </c>
      <c r="T23" s="25">
        <v>73.900000000000006</v>
      </c>
      <c r="U23" s="46">
        <f>73.9</f>
        <v>73.900000000000006</v>
      </c>
    </row>
    <row r="24" spans="1:22" ht="104.25" customHeight="1" x14ac:dyDescent="0.2">
      <c r="A24" s="21"/>
      <c r="B24" s="24" t="s">
        <v>49</v>
      </c>
      <c r="C24" s="88" t="s">
        <v>351</v>
      </c>
      <c r="D24" s="88"/>
      <c r="E24" s="88"/>
      <c r="F24" s="88"/>
      <c r="G24" s="88"/>
      <c r="H24" s="88"/>
      <c r="I24" s="88" t="s">
        <v>352</v>
      </c>
      <c r="J24" s="88"/>
      <c r="K24" s="88"/>
      <c r="L24" s="88" t="s">
        <v>353</v>
      </c>
      <c r="M24" s="88"/>
      <c r="N24" s="88"/>
      <c r="O24" s="88"/>
      <c r="P24" s="25" t="s">
        <v>42</v>
      </c>
      <c r="Q24" s="25" t="s">
        <v>303</v>
      </c>
      <c r="R24" s="25">
        <v>100</v>
      </c>
      <c r="S24" s="25">
        <v>100</v>
      </c>
      <c r="T24" s="25">
        <v>104.28</v>
      </c>
      <c r="U24" s="46">
        <f>104.28</f>
        <v>104.28</v>
      </c>
    </row>
    <row r="25" spans="1:22" ht="75" customHeight="1" x14ac:dyDescent="0.2">
      <c r="A25" s="21"/>
      <c r="B25" s="24" t="s">
        <v>49</v>
      </c>
      <c r="C25" s="88" t="s">
        <v>49</v>
      </c>
      <c r="D25" s="88"/>
      <c r="E25" s="88"/>
      <c r="F25" s="88"/>
      <c r="G25" s="88"/>
      <c r="H25" s="88"/>
      <c r="I25" s="88" t="s">
        <v>354</v>
      </c>
      <c r="J25" s="88"/>
      <c r="K25" s="88"/>
      <c r="L25" s="88" t="s">
        <v>355</v>
      </c>
      <c r="M25" s="88"/>
      <c r="N25" s="88"/>
      <c r="O25" s="88"/>
      <c r="P25" s="25" t="s">
        <v>42</v>
      </c>
      <c r="Q25" s="25" t="s">
        <v>303</v>
      </c>
      <c r="R25" s="25">
        <v>100</v>
      </c>
      <c r="S25" s="25">
        <v>100</v>
      </c>
      <c r="T25" s="25">
        <v>100</v>
      </c>
      <c r="U25" s="46">
        <f>100</f>
        <v>100</v>
      </c>
    </row>
    <row r="26" spans="1:22" ht="81" customHeight="1" x14ac:dyDescent="0.2">
      <c r="A26" s="21"/>
      <c r="B26" s="24" t="s">
        <v>49</v>
      </c>
      <c r="C26" s="88" t="s">
        <v>49</v>
      </c>
      <c r="D26" s="88"/>
      <c r="E26" s="88"/>
      <c r="F26" s="88"/>
      <c r="G26" s="88"/>
      <c r="H26" s="88"/>
      <c r="I26" s="88" t="s">
        <v>356</v>
      </c>
      <c r="J26" s="88"/>
      <c r="K26" s="88"/>
      <c r="L26" s="88" t="s">
        <v>357</v>
      </c>
      <c r="M26" s="88"/>
      <c r="N26" s="88"/>
      <c r="O26" s="88"/>
      <c r="P26" s="25" t="s">
        <v>42</v>
      </c>
      <c r="Q26" s="25" t="s">
        <v>303</v>
      </c>
      <c r="R26" s="25">
        <v>100</v>
      </c>
      <c r="S26" s="25">
        <v>100</v>
      </c>
      <c r="T26" s="25">
        <v>141.55000000000001</v>
      </c>
      <c r="U26" s="46">
        <f>141.55</f>
        <v>141.55000000000001</v>
      </c>
    </row>
    <row r="27" spans="1:22" ht="134.25" customHeight="1" x14ac:dyDescent="0.2">
      <c r="A27" s="21"/>
      <c r="B27" s="24" t="s">
        <v>49</v>
      </c>
      <c r="C27" s="88" t="s">
        <v>358</v>
      </c>
      <c r="D27" s="88"/>
      <c r="E27" s="88"/>
      <c r="F27" s="88"/>
      <c r="G27" s="88"/>
      <c r="H27" s="88"/>
      <c r="I27" s="88" t="s">
        <v>359</v>
      </c>
      <c r="J27" s="88"/>
      <c r="K27" s="88"/>
      <c r="L27" s="88" t="s">
        <v>360</v>
      </c>
      <c r="M27" s="88"/>
      <c r="N27" s="88"/>
      <c r="O27" s="88"/>
      <c r="P27" s="25" t="s">
        <v>42</v>
      </c>
      <c r="Q27" s="25" t="s">
        <v>303</v>
      </c>
      <c r="R27" s="25">
        <v>100</v>
      </c>
      <c r="S27" s="25">
        <v>100</v>
      </c>
      <c r="T27" s="25">
        <v>104.28</v>
      </c>
      <c r="U27" s="46">
        <f>104.28</f>
        <v>104.28</v>
      </c>
    </row>
    <row r="28" spans="1:22" ht="106.5" customHeight="1" x14ac:dyDescent="0.2">
      <c r="A28" s="21"/>
      <c r="B28" s="24" t="s">
        <v>49</v>
      </c>
      <c r="C28" s="88" t="s">
        <v>49</v>
      </c>
      <c r="D28" s="88"/>
      <c r="E28" s="88"/>
      <c r="F28" s="88"/>
      <c r="G28" s="88"/>
      <c r="H28" s="88"/>
      <c r="I28" s="88" t="s">
        <v>361</v>
      </c>
      <c r="J28" s="88"/>
      <c r="K28" s="88"/>
      <c r="L28" s="88" t="s">
        <v>362</v>
      </c>
      <c r="M28" s="88"/>
      <c r="N28" s="88"/>
      <c r="O28" s="88"/>
      <c r="P28" s="25" t="s">
        <v>42</v>
      </c>
      <c r="Q28" s="25" t="s">
        <v>303</v>
      </c>
      <c r="R28" s="25">
        <v>100</v>
      </c>
      <c r="S28" s="25">
        <v>100</v>
      </c>
      <c r="T28" s="25">
        <v>81.290000000000006</v>
      </c>
      <c r="U28" s="46">
        <f>81.3</f>
        <v>81.3</v>
      </c>
    </row>
    <row r="29" spans="1:22" ht="100.5" customHeight="1" thickBot="1" x14ac:dyDescent="0.25">
      <c r="A29" s="21"/>
      <c r="B29" s="24" t="s">
        <v>49</v>
      </c>
      <c r="C29" s="88" t="s">
        <v>49</v>
      </c>
      <c r="D29" s="88"/>
      <c r="E29" s="88"/>
      <c r="F29" s="88"/>
      <c r="G29" s="88"/>
      <c r="H29" s="88"/>
      <c r="I29" s="88" t="s">
        <v>363</v>
      </c>
      <c r="J29" s="88"/>
      <c r="K29" s="88"/>
      <c r="L29" s="88" t="s">
        <v>364</v>
      </c>
      <c r="M29" s="88"/>
      <c r="N29" s="88"/>
      <c r="O29" s="88"/>
      <c r="P29" s="25" t="s">
        <v>42</v>
      </c>
      <c r="Q29" s="25" t="s">
        <v>303</v>
      </c>
      <c r="R29" s="25">
        <v>100</v>
      </c>
      <c r="S29" s="25">
        <v>100</v>
      </c>
      <c r="T29" s="25">
        <v>74.81</v>
      </c>
      <c r="U29" s="46">
        <f>74.81</f>
        <v>74.81</v>
      </c>
    </row>
    <row r="30" spans="1:22" ht="14.25" customHeight="1" thickTop="1" thickBot="1" x14ac:dyDescent="0.25">
      <c r="B30" s="4" t="s">
        <v>62</v>
      </c>
      <c r="C30" s="5"/>
      <c r="D30" s="5"/>
      <c r="E30" s="5"/>
      <c r="F30" s="5"/>
      <c r="G30" s="5"/>
      <c r="H30" s="6"/>
      <c r="I30" s="6"/>
      <c r="J30" s="6"/>
      <c r="K30" s="6"/>
      <c r="L30" s="6"/>
      <c r="M30" s="6"/>
      <c r="N30" s="6"/>
      <c r="O30" s="6"/>
      <c r="P30" s="6"/>
      <c r="Q30" s="6"/>
      <c r="R30" s="6"/>
      <c r="S30" s="6"/>
      <c r="T30" s="6"/>
      <c r="U30" s="7"/>
      <c r="V30" s="26"/>
    </row>
    <row r="31" spans="1:22" ht="26.25" customHeight="1" thickTop="1" x14ac:dyDescent="0.2">
      <c r="B31" s="27"/>
      <c r="C31" s="28"/>
      <c r="D31" s="28"/>
      <c r="E31" s="28"/>
      <c r="F31" s="28"/>
      <c r="G31" s="28"/>
      <c r="H31" s="29"/>
      <c r="I31" s="29"/>
      <c r="J31" s="29"/>
      <c r="K31" s="29"/>
      <c r="L31" s="29"/>
      <c r="M31" s="29"/>
      <c r="N31" s="29"/>
      <c r="O31" s="29"/>
      <c r="P31" s="29"/>
      <c r="Q31" s="29"/>
      <c r="R31" s="30"/>
      <c r="S31" s="31" t="s">
        <v>33</v>
      </c>
      <c r="T31" s="31" t="s">
        <v>63</v>
      </c>
      <c r="U31" s="18" t="s">
        <v>64</v>
      </c>
    </row>
    <row r="32" spans="1:22" ht="26.25" customHeight="1" thickBot="1" x14ac:dyDescent="0.25">
      <c r="B32" s="32"/>
      <c r="C32" s="33"/>
      <c r="D32" s="33"/>
      <c r="E32" s="33"/>
      <c r="F32" s="33"/>
      <c r="G32" s="33"/>
      <c r="H32" s="34"/>
      <c r="I32" s="34"/>
      <c r="J32" s="34"/>
      <c r="K32" s="34"/>
      <c r="L32" s="34"/>
      <c r="M32" s="34"/>
      <c r="N32" s="34"/>
      <c r="O32" s="34"/>
      <c r="P32" s="34"/>
      <c r="Q32" s="34"/>
      <c r="R32" s="34"/>
      <c r="S32" s="35" t="s">
        <v>65</v>
      </c>
      <c r="T32" s="36" t="s">
        <v>65</v>
      </c>
      <c r="U32" s="36" t="s">
        <v>66</v>
      </c>
    </row>
    <row r="33" spans="2:21" ht="13.5" customHeight="1" thickBot="1" x14ac:dyDescent="0.25">
      <c r="B33" s="95" t="s">
        <v>67</v>
      </c>
      <c r="C33" s="96"/>
      <c r="D33" s="96"/>
      <c r="E33" s="37"/>
      <c r="F33" s="37"/>
      <c r="G33" s="37"/>
      <c r="H33" s="38"/>
      <c r="I33" s="38"/>
      <c r="J33" s="38"/>
      <c r="K33" s="38"/>
      <c r="L33" s="38"/>
      <c r="M33" s="38"/>
      <c r="N33" s="38"/>
      <c r="O33" s="38"/>
      <c r="P33" s="39"/>
      <c r="Q33" s="39"/>
      <c r="R33" s="39"/>
      <c r="S33" s="47">
        <v>1872.708752</v>
      </c>
      <c r="T33" s="47">
        <v>2065.5366618399999</v>
      </c>
      <c r="U33" s="48">
        <f>+IF(ISERR(T33/S33*100),"N/A",ROUND(T33/S33*100,1))</f>
        <v>110.3</v>
      </c>
    </row>
    <row r="34" spans="2:21" ht="13.5" customHeight="1" thickBot="1" x14ac:dyDescent="0.25">
      <c r="B34" s="97" t="s">
        <v>68</v>
      </c>
      <c r="C34" s="98"/>
      <c r="D34" s="98"/>
      <c r="E34" s="40"/>
      <c r="F34" s="40"/>
      <c r="G34" s="40"/>
      <c r="H34" s="41"/>
      <c r="I34" s="41"/>
      <c r="J34" s="41"/>
      <c r="K34" s="41"/>
      <c r="L34" s="41"/>
      <c r="M34" s="41"/>
      <c r="N34" s="41"/>
      <c r="O34" s="41"/>
      <c r="P34" s="42"/>
      <c r="Q34" s="42"/>
      <c r="R34" s="42"/>
      <c r="S34" s="47">
        <v>2065.5366618399999</v>
      </c>
      <c r="T34" s="47">
        <v>2065.5366618399999</v>
      </c>
      <c r="U34" s="48">
        <f>+IF(ISERR(T34/S34*100),"N/A",ROUND(T34/S34*100,1))</f>
        <v>100</v>
      </c>
    </row>
    <row r="35" spans="2:21" ht="14.85" customHeight="1" thickTop="1" thickBot="1" x14ac:dyDescent="0.25">
      <c r="B35" s="4" t="s">
        <v>69</v>
      </c>
      <c r="C35" s="5"/>
      <c r="D35" s="5"/>
      <c r="E35" s="5"/>
      <c r="F35" s="5"/>
      <c r="G35" s="5"/>
      <c r="H35" s="6"/>
      <c r="I35" s="6"/>
      <c r="J35" s="6"/>
      <c r="K35" s="6"/>
      <c r="L35" s="6"/>
      <c r="M35" s="6"/>
      <c r="N35" s="6"/>
      <c r="O35" s="6"/>
      <c r="P35" s="6"/>
      <c r="Q35" s="6"/>
      <c r="R35" s="6"/>
      <c r="S35" s="6"/>
      <c r="T35" s="6"/>
      <c r="U35" s="7"/>
    </row>
    <row r="36" spans="2:21" ht="44.25" customHeight="1" thickTop="1" x14ac:dyDescent="0.2">
      <c r="B36" s="99" t="s">
        <v>70</v>
      </c>
      <c r="C36" s="100"/>
      <c r="D36" s="100"/>
      <c r="E36" s="100"/>
      <c r="F36" s="100"/>
      <c r="G36" s="100"/>
      <c r="H36" s="100"/>
      <c r="I36" s="100"/>
      <c r="J36" s="100"/>
      <c r="K36" s="100"/>
      <c r="L36" s="100"/>
      <c r="M36" s="100"/>
      <c r="N36" s="100"/>
      <c r="O36" s="100"/>
      <c r="P36" s="100"/>
      <c r="Q36" s="100"/>
      <c r="R36" s="100"/>
      <c r="S36" s="100"/>
      <c r="T36" s="100"/>
      <c r="U36" s="101"/>
    </row>
    <row r="37" spans="2:21" ht="57.75" customHeight="1" x14ac:dyDescent="0.2">
      <c r="B37" s="89" t="s">
        <v>365</v>
      </c>
      <c r="C37" s="90"/>
      <c r="D37" s="90"/>
      <c r="E37" s="90"/>
      <c r="F37" s="90"/>
      <c r="G37" s="90"/>
      <c r="H37" s="90"/>
      <c r="I37" s="90"/>
      <c r="J37" s="90"/>
      <c r="K37" s="90"/>
      <c r="L37" s="90"/>
      <c r="M37" s="90"/>
      <c r="N37" s="90"/>
      <c r="O37" s="90"/>
      <c r="P37" s="90"/>
      <c r="Q37" s="90"/>
      <c r="R37" s="90"/>
      <c r="S37" s="90"/>
      <c r="T37" s="90"/>
      <c r="U37" s="91"/>
    </row>
    <row r="38" spans="2:21" ht="99.2" customHeight="1" x14ac:dyDescent="0.2">
      <c r="B38" s="89" t="s">
        <v>366</v>
      </c>
      <c r="C38" s="90"/>
      <c r="D38" s="90"/>
      <c r="E38" s="90"/>
      <c r="F38" s="90"/>
      <c r="G38" s="90"/>
      <c r="H38" s="90"/>
      <c r="I38" s="90"/>
      <c r="J38" s="90"/>
      <c r="K38" s="90"/>
      <c r="L38" s="90"/>
      <c r="M38" s="90"/>
      <c r="N38" s="90"/>
      <c r="O38" s="90"/>
      <c r="P38" s="90"/>
      <c r="Q38" s="90"/>
      <c r="R38" s="90"/>
      <c r="S38" s="90"/>
      <c r="T38" s="90"/>
      <c r="U38" s="91"/>
    </row>
    <row r="39" spans="2:21" ht="116.85" customHeight="1" x14ac:dyDescent="0.2">
      <c r="B39" s="89" t="s">
        <v>367</v>
      </c>
      <c r="C39" s="90"/>
      <c r="D39" s="90"/>
      <c r="E39" s="90"/>
      <c r="F39" s="90"/>
      <c r="G39" s="90"/>
      <c r="H39" s="90"/>
      <c r="I39" s="90"/>
      <c r="J39" s="90"/>
      <c r="K39" s="90"/>
      <c r="L39" s="90"/>
      <c r="M39" s="90"/>
      <c r="N39" s="90"/>
      <c r="O39" s="90"/>
      <c r="P39" s="90"/>
      <c r="Q39" s="90"/>
      <c r="R39" s="90"/>
      <c r="S39" s="90"/>
      <c r="T39" s="90"/>
      <c r="U39" s="91"/>
    </row>
    <row r="40" spans="2:21" ht="87.75" customHeight="1" x14ac:dyDescent="0.2">
      <c r="B40" s="89" t="s">
        <v>368</v>
      </c>
      <c r="C40" s="90"/>
      <c r="D40" s="90"/>
      <c r="E40" s="90"/>
      <c r="F40" s="90"/>
      <c r="G40" s="90"/>
      <c r="H40" s="90"/>
      <c r="I40" s="90"/>
      <c r="J40" s="90"/>
      <c r="K40" s="90"/>
      <c r="L40" s="90"/>
      <c r="M40" s="90"/>
      <c r="N40" s="90"/>
      <c r="O40" s="90"/>
      <c r="P40" s="90"/>
      <c r="Q40" s="90"/>
      <c r="R40" s="90"/>
      <c r="S40" s="90"/>
      <c r="T40" s="90"/>
      <c r="U40" s="91"/>
    </row>
    <row r="41" spans="2:21" ht="64.5" customHeight="1" x14ac:dyDescent="0.2">
      <c r="B41" s="89" t="s">
        <v>369</v>
      </c>
      <c r="C41" s="90"/>
      <c r="D41" s="90"/>
      <c r="E41" s="90"/>
      <c r="F41" s="90"/>
      <c r="G41" s="90"/>
      <c r="H41" s="90"/>
      <c r="I41" s="90"/>
      <c r="J41" s="90"/>
      <c r="K41" s="90"/>
      <c r="L41" s="90"/>
      <c r="M41" s="90"/>
      <c r="N41" s="90"/>
      <c r="O41" s="90"/>
      <c r="P41" s="90"/>
      <c r="Q41" s="90"/>
      <c r="R41" s="90"/>
      <c r="S41" s="90"/>
      <c r="T41" s="90"/>
      <c r="U41" s="91"/>
    </row>
    <row r="42" spans="2:21" ht="149.25" customHeight="1" x14ac:dyDescent="0.2">
      <c r="B42" s="89" t="s">
        <v>370</v>
      </c>
      <c r="C42" s="90"/>
      <c r="D42" s="90"/>
      <c r="E42" s="90"/>
      <c r="F42" s="90"/>
      <c r="G42" s="90"/>
      <c r="H42" s="90"/>
      <c r="I42" s="90"/>
      <c r="J42" s="90"/>
      <c r="K42" s="90"/>
      <c r="L42" s="90"/>
      <c r="M42" s="90"/>
      <c r="N42" s="90"/>
      <c r="O42" s="90"/>
      <c r="P42" s="90"/>
      <c r="Q42" s="90"/>
      <c r="R42" s="90"/>
      <c r="S42" s="90"/>
      <c r="T42" s="90"/>
      <c r="U42" s="91"/>
    </row>
    <row r="43" spans="2:21" ht="146.25" customHeight="1" x14ac:dyDescent="0.2">
      <c r="B43" s="89" t="s">
        <v>371</v>
      </c>
      <c r="C43" s="90"/>
      <c r="D43" s="90"/>
      <c r="E43" s="90"/>
      <c r="F43" s="90"/>
      <c r="G43" s="90"/>
      <c r="H43" s="90"/>
      <c r="I43" s="90"/>
      <c r="J43" s="90"/>
      <c r="K43" s="90"/>
      <c r="L43" s="90"/>
      <c r="M43" s="90"/>
      <c r="N43" s="90"/>
      <c r="O43" s="90"/>
      <c r="P43" s="90"/>
      <c r="Q43" s="90"/>
      <c r="R43" s="90"/>
      <c r="S43" s="90"/>
      <c r="T43" s="90"/>
      <c r="U43" s="91"/>
    </row>
    <row r="44" spans="2:21" ht="146.1" customHeight="1" x14ac:dyDescent="0.2">
      <c r="B44" s="89" t="s">
        <v>372</v>
      </c>
      <c r="C44" s="90"/>
      <c r="D44" s="90"/>
      <c r="E44" s="90"/>
      <c r="F44" s="90"/>
      <c r="G44" s="90"/>
      <c r="H44" s="90"/>
      <c r="I44" s="90"/>
      <c r="J44" s="90"/>
      <c r="K44" s="90"/>
      <c r="L44" s="90"/>
      <c r="M44" s="90"/>
      <c r="N44" s="90"/>
      <c r="O44" s="90"/>
      <c r="P44" s="90"/>
      <c r="Q44" s="90"/>
      <c r="R44" s="90"/>
      <c r="S44" s="90"/>
      <c r="T44" s="90"/>
      <c r="U44" s="91"/>
    </row>
    <row r="45" spans="2:21" ht="65.25" customHeight="1" x14ac:dyDescent="0.2">
      <c r="B45" s="89" t="s">
        <v>373</v>
      </c>
      <c r="C45" s="90"/>
      <c r="D45" s="90"/>
      <c r="E45" s="90"/>
      <c r="F45" s="90"/>
      <c r="G45" s="90"/>
      <c r="H45" s="90"/>
      <c r="I45" s="90"/>
      <c r="J45" s="90"/>
      <c r="K45" s="90"/>
      <c r="L45" s="90"/>
      <c r="M45" s="90"/>
      <c r="N45" s="90"/>
      <c r="O45" s="90"/>
      <c r="P45" s="90"/>
      <c r="Q45" s="90"/>
      <c r="R45" s="90"/>
      <c r="S45" s="90"/>
      <c r="T45" s="90"/>
      <c r="U45" s="91"/>
    </row>
    <row r="46" spans="2:21" ht="66" customHeight="1" x14ac:dyDescent="0.2">
      <c r="B46" s="89" t="s">
        <v>374</v>
      </c>
      <c r="C46" s="90"/>
      <c r="D46" s="90"/>
      <c r="E46" s="90"/>
      <c r="F46" s="90"/>
      <c r="G46" s="90"/>
      <c r="H46" s="90"/>
      <c r="I46" s="90"/>
      <c r="J46" s="90"/>
      <c r="K46" s="90"/>
      <c r="L46" s="90"/>
      <c r="M46" s="90"/>
      <c r="N46" s="90"/>
      <c r="O46" s="90"/>
      <c r="P46" s="90"/>
      <c r="Q46" s="90"/>
      <c r="R46" s="90"/>
      <c r="S46" s="90"/>
      <c r="T46" s="90"/>
      <c r="U46" s="91"/>
    </row>
    <row r="47" spans="2:21" ht="66.75" customHeight="1" x14ac:dyDescent="0.2">
      <c r="B47" s="89" t="s">
        <v>375</v>
      </c>
      <c r="C47" s="90"/>
      <c r="D47" s="90"/>
      <c r="E47" s="90"/>
      <c r="F47" s="90"/>
      <c r="G47" s="90"/>
      <c r="H47" s="90"/>
      <c r="I47" s="90"/>
      <c r="J47" s="90"/>
      <c r="K47" s="90"/>
      <c r="L47" s="90"/>
      <c r="M47" s="90"/>
      <c r="N47" s="90"/>
      <c r="O47" s="90"/>
      <c r="P47" s="90"/>
      <c r="Q47" s="90"/>
      <c r="R47" s="90"/>
      <c r="S47" s="90"/>
      <c r="T47" s="90"/>
      <c r="U47" s="91"/>
    </row>
    <row r="48" spans="2:21" ht="118.35" customHeight="1" x14ac:dyDescent="0.2">
      <c r="B48" s="89" t="s">
        <v>376</v>
      </c>
      <c r="C48" s="90"/>
      <c r="D48" s="90"/>
      <c r="E48" s="90"/>
      <c r="F48" s="90"/>
      <c r="G48" s="90"/>
      <c r="H48" s="90"/>
      <c r="I48" s="90"/>
      <c r="J48" s="90"/>
      <c r="K48" s="90"/>
      <c r="L48" s="90"/>
      <c r="M48" s="90"/>
      <c r="N48" s="90"/>
      <c r="O48" s="90"/>
      <c r="P48" s="90"/>
      <c r="Q48" s="90"/>
      <c r="R48" s="90"/>
      <c r="S48" s="90"/>
      <c r="T48" s="90"/>
      <c r="U48" s="91"/>
    </row>
    <row r="49" spans="2:21" ht="86.25" customHeight="1" x14ac:dyDescent="0.2">
      <c r="B49" s="89" t="s">
        <v>377</v>
      </c>
      <c r="C49" s="90"/>
      <c r="D49" s="90"/>
      <c r="E49" s="90"/>
      <c r="F49" s="90"/>
      <c r="G49" s="90"/>
      <c r="H49" s="90"/>
      <c r="I49" s="90"/>
      <c r="J49" s="90"/>
      <c r="K49" s="90"/>
      <c r="L49" s="90"/>
      <c r="M49" s="90"/>
      <c r="N49" s="90"/>
      <c r="O49" s="90"/>
      <c r="P49" s="90"/>
      <c r="Q49" s="90"/>
      <c r="R49" s="90"/>
      <c r="S49" s="90"/>
      <c r="T49" s="90"/>
      <c r="U49" s="91"/>
    </row>
    <row r="50" spans="2:21" ht="117.75" customHeight="1" x14ac:dyDescent="0.2">
      <c r="B50" s="89" t="s">
        <v>378</v>
      </c>
      <c r="C50" s="90"/>
      <c r="D50" s="90"/>
      <c r="E50" s="90"/>
      <c r="F50" s="90"/>
      <c r="G50" s="90"/>
      <c r="H50" s="90"/>
      <c r="I50" s="90"/>
      <c r="J50" s="90"/>
      <c r="K50" s="90"/>
      <c r="L50" s="90"/>
      <c r="M50" s="90"/>
      <c r="N50" s="90"/>
      <c r="O50" s="90"/>
      <c r="P50" s="90"/>
      <c r="Q50" s="90"/>
      <c r="R50" s="90"/>
      <c r="S50" s="90"/>
      <c r="T50" s="90"/>
      <c r="U50" s="91"/>
    </row>
    <row r="51" spans="2:21" ht="66" customHeight="1" x14ac:dyDescent="0.2">
      <c r="B51" s="89" t="s">
        <v>379</v>
      </c>
      <c r="C51" s="90"/>
      <c r="D51" s="90"/>
      <c r="E51" s="90"/>
      <c r="F51" s="90"/>
      <c r="G51" s="90"/>
      <c r="H51" s="90"/>
      <c r="I51" s="90"/>
      <c r="J51" s="90"/>
      <c r="K51" s="90"/>
      <c r="L51" s="90"/>
      <c r="M51" s="90"/>
      <c r="N51" s="90"/>
      <c r="O51" s="90"/>
      <c r="P51" s="90"/>
      <c r="Q51" s="90"/>
      <c r="R51" s="90"/>
      <c r="S51" s="90"/>
      <c r="T51" s="90"/>
      <c r="U51" s="91"/>
    </row>
    <row r="52" spans="2:21" ht="77.25" customHeight="1" x14ac:dyDescent="0.2">
      <c r="B52" s="89" t="s">
        <v>380</v>
      </c>
      <c r="C52" s="90"/>
      <c r="D52" s="90"/>
      <c r="E52" s="90"/>
      <c r="F52" s="90"/>
      <c r="G52" s="90"/>
      <c r="H52" s="90"/>
      <c r="I52" s="90"/>
      <c r="J52" s="90"/>
      <c r="K52" s="90"/>
      <c r="L52" s="90"/>
      <c r="M52" s="90"/>
      <c r="N52" s="90"/>
      <c r="O52" s="90"/>
      <c r="P52" s="90"/>
      <c r="Q52" s="90"/>
      <c r="R52" s="90"/>
      <c r="S52" s="90"/>
      <c r="T52" s="90"/>
      <c r="U52" s="91"/>
    </row>
    <row r="53" spans="2:21" ht="132.75" customHeight="1" x14ac:dyDescent="0.2">
      <c r="B53" s="89" t="s">
        <v>381</v>
      </c>
      <c r="C53" s="90"/>
      <c r="D53" s="90"/>
      <c r="E53" s="90"/>
      <c r="F53" s="90"/>
      <c r="G53" s="90"/>
      <c r="H53" s="90"/>
      <c r="I53" s="90"/>
      <c r="J53" s="90"/>
      <c r="K53" s="90"/>
      <c r="L53" s="90"/>
      <c r="M53" s="90"/>
      <c r="N53" s="90"/>
      <c r="O53" s="90"/>
      <c r="P53" s="90"/>
      <c r="Q53" s="90"/>
      <c r="R53" s="90"/>
      <c r="S53" s="90"/>
      <c r="T53" s="90"/>
      <c r="U53" s="91"/>
    </row>
    <row r="54" spans="2:21" ht="77.25" customHeight="1" x14ac:dyDescent="0.2">
      <c r="B54" s="89" t="s">
        <v>382</v>
      </c>
      <c r="C54" s="90"/>
      <c r="D54" s="90"/>
      <c r="E54" s="90"/>
      <c r="F54" s="90"/>
      <c r="G54" s="90"/>
      <c r="H54" s="90"/>
      <c r="I54" s="90"/>
      <c r="J54" s="90"/>
      <c r="K54" s="90"/>
      <c r="L54" s="90"/>
      <c r="M54" s="90"/>
      <c r="N54" s="90"/>
      <c r="O54" s="90"/>
      <c r="P54" s="90"/>
      <c r="Q54" s="90"/>
      <c r="R54" s="90"/>
      <c r="S54" s="90"/>
      <c r="T54" s="90"/>
      <c r="U54" s="91"/>
    </row>
    <row r="55" spans="2:21" ht="148.35" customHeight="1" thickBot="1" x14ac:dyDescent="0.25">
      <c r="B55" s="92" t="s">
        <v>383</v>
      </c>
      <c r="C55" s="93"/>
      <c r="D55" s="93"/>
      <c r="E55" s="93"/>
      <c r="F55" s="93"/>
      <c r="G55" s="93"/>
      <c r="H55" s="93"/>
      <c r="I55" s="93"/>
      <c r="J55" s="93"/>
      <c r="K55" s="93"/>
      <c r="L55" s="93"/>
      <c r="M55" s="93"/>
      <c r="N55" s="93"/>
      <c r="O55" s="93"/>
      <c r="P55" s="93"/>
      <c r="Q55" s="93"/>
      <c r="R55" s="93"/>
      <c r="S55" s="93"/>
      <c r="T55" s="93"/>
      <c r="U55" s="94"/>
    </row>
  </sheetData>
  <mergeCells count="100">
    <mergeCell ref="B52:U52"/>
    <mergeCell ref="B53:U53"/>
    <mergeCell ref="B54:U54"/>
    <mergeCell ref="B55:U55"/>
    <mergeCell ref="B46:U46"/>
    <mergeCell ref="B47:U47"/>
    <mergeCell ref="B48:U48"/>
    <mergeCell ref="B49:U49"/>
    <mergeCell ref="B50:U50"/>
    <mergeCell ref="B51:U51"/>
    <mergeCell ref="B45:U45"/>
    <mergeCell ref="B33:D33"/>
    <mergeCell ref="B34:D34"/>
    <mergeCell ref="B36:U36"/>
    <mergeCell ref="B37:U37"/>
    <mergeCell ref="B38:U38"/>
    <mergeCell ref="B39:U39"/>
    <mergeCell ref="B40:U40"/>
    <mergeCell ref="B41:U41"/>
    <mergeCell ref="B42:U42"/>
    <mergeCell ref="B43:U43"/>
    <mergeCell ref="B44:U44"/>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26</vt:i4>
      </vt:variant>
    </vt:vector>
  </HeadingPairs>
  <TitlesOfParts>
    <vt:vector size="39" baseType="lpstr">
      <vt:lpstr>Portada</vt:lpstr>
      <vt:lpstr>16 K007</vt:lpstr>
      <vt:lpstr>16 K129</vt:lpstr>
      <vt:lpstr>16 K131</vt:lpstr>
      <vt:lpstr>16 S046</vt:lpstr>
      <vt:lpstr>16 S071</vt:lpstr>
      <vt:lpstr>16 S074</vt:lpstr>
      <vt:lpstr>16 S075</vt:lpstr>
      <vt:lpstr>16 S079</vt:lpstr>
      <vt:lpstr>16 S218</vt:lpstr>
      <vt:lpstr>16 S219</vt:lpstr>
      <vt:lpstr>16 U012</vt:lpstr>
      <vt:lpstr>16 U020</vt:lpstr>
      <vt:lpstr>'16 K007'!Área_de_impresión</vt:lpstr>
      <vt:lpstr>'16 K129'!Área_de_impresión</vt:lpstr>
      <vt:lpstr>'16 K131'!Área_de_impresión</vt:lpstr>
      <vt:lpstr>'16 S046'!Área_de_impresión</vt:lpstr>
      <vt:lpstr>'16 S071'!Área_de_impresión</vt:lpstr>
      <vt:lpstr>'16 S074'!Área_de_impresión</vt:lpstr>
      <vt:lpstr>'16 S075'!Área_de_impresión</vt:lpstr>
      <vt:lpstr>'16 S079'!Área_de_impresión</vt:lpstr>
      <vt:lpstr>'16 S218'!Área_de_impresión</vt:lpstr>
      <vt:lpstr>'16 S219'!Área_de_impresión</vt:lpstr>
      <vt:lpstr>'16 U012'!Área_de_impresión</vt:lpstr>
      <vt:lpstr>'16 U020'!Área_de_impresión</vt:lpstr>
      <vt:lpstr>Portada!Área_de_impresión</vt:lpstr>
      <vt:lpstr>'16 K007'!Títulos_a_imprimir</vt:lpstr>
      <vt:lpstr>'16 K129'!Títulos_a_imprimir</vt:lpstr>
      <vt:lpstr>'16 K131'!Títulos_a_imprimir</vt:lpstr>
      <vt:lpstr>'16 S046'!Títulos_a_imprimir</vt:lpstr>
      <vt:lpstr>'16 S071'!Títulos_a_imprimir</vt:lpstr>
      <vt:lpstr>'16 S074'!Títulos_a_imprimir</vt:lpstr>
      <vt:lpstr>'16 S075'!Títulos_a_imprimir</vt:lpstr>
      <vt:lpstr>'16 S079'!Títulos_a_imprimir</vt:lpstr>
      <vt:lpstr>'16 S218'!Títulos_a_imprimir</vt:lpstr>
      <vt:lpstr>'16 S219'!Títulos_a_imprimir</vt:lpstr>
      <vt:lpstr>'16 U012'!Títulos_a_imprimir</vt:lpstr>
      <vt:lpstr>'16 U020'!Títulos_a_imprimir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2014-04-01T20:09:28Z</dcterms:modified>
</cp:coreProperties>
</file>