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5" windowWidth="12585" windowHeight="12090" tabRatio="776"/>
  </bookViews>
  <sheets>
    <sheet name="Portada" sheetId="1" r:id="rId1"/>
    <sheet name="20 E003" sheetId="2" r:id="rId2"/>
    <sheet name="20 S052" sheetId="3" r:id="rId3"/>
    <sheet name="20 S053" sheetId="4" r:id="rId4"/>
    <sheet name="20 S054" sheetId="5" r:id="rId5"/>
    <sheet name="20 S057" sheetId="6" r:id="rId6"/>
    <sheet name="20 S061" sheetId="7" r:id="rId7"/>
    <sheet name="20 S070" sheetId="8" r:id="rId8"/>
    <sheet name="20 S071" sheetId="9" r:id="rId9"/>
    <sheet name="20 S072" sheetId="10" r:id="rId10"/>
    <sheet name="20 S118" sheetId="11" r:id="rId11"/>
    <sheet name="20 S155" sheetId="12" r:id="rId12"/>
    <sheet name="20 S174" sheetId="13" r:id="rId13"/>
    <sheet name="20 S176" sheetId="14" r:id="rId14"/>
    <sheet name="20 S216" sheetId="15" r:id="rId15"/>
    <sheet name="20 U008" sheetId="16" r:id="rId16"/>
  </sheets>
  <definedNames>
    <definedName name="_xlnm.Print_Area" localSheetId="1">'20 E003'!$B$1:$U$29</definedName>
    <definedName name="_xlnm.Print_Area" localSheetId="2">'20 S052'!$B$1:$U$60</definedName>
    <definedName name="_xlnm.Print_Area" localSheetId="3">'20 S053'!$B$1:$U$60</definedName>
    <definedName name="_xlnm.Print_Area" localSheetId="4">'20 S054'!$B$1:$U$49</definedName>
    <definedName name="_xlnm.Print_Area" localSheetId="5">'20 S057'!$B$1:$U$52</definedName>
    <definedName name="_xlnm.Print_Area" localSheetId="6">'20 S061'!$B$1:$U$51</definedName>
    <definedName name="_xlnm.Print_Area" localSheetId="7">'20 S070'!$B$1:$U$55</definedName>
    <definedName name="_xlnm.Print_Area" localSheetId="8">'20 S071'!$B$1:$U$40</definedName>
    <definedName name="_xlnm.Print_Area" localSheetId="9">'20 S072'!$B$1:$U$86</definedName>
    <definedName name="_xlnm.Print_Area" localSheetId="10">'20 S118'!$B$1:$U$33</definedName>
    <definedName name="_xlnm.Print_Area" localSheetId="11">'20 S155'!$B$1:$U$43</definedName>
    <definedName name="_xlnm.Print_Area" localSheetId="12">'20 S174'!$B$1:$U$57</definedName>
    <definedName name="_xlnm.Print_Area" localSheetId="13">'20 S176'!$B$1:$U$39</definedName>
    <definedName name="_xlnm.Print_Area" localSheetId="14">'20 S216'!$B$1:$U$115</definedName>
    <definedName name="_xlnm.Print_Area" localSheetId="15">'20 U008'!$B$1:$U$43</definedName>
    <definedName name="_xlnm.Print_Area" localSheetId="0">Portada!$B$1:$AD$86</definedName>
    <definedName name="_xlnm.Print_Titles" localSheetId="1">'20 E003'!$1:$4</definedName>
    <definedName name="_xlnm.Print_Titles" localSheetId="2">'20 S052'!$1:$4</definedName>
    <definedName name="_xlnm.Print_Titles" localSheetId="3">'20 S053'!$1:$4</definedName>
    <definedName name="_xlnm.Print_Titles" localSheetId="4">'20 S054'!$1:$4</definedName>
    <definedName name="_xlnm.Print_Titles" localSheetId="5">'20 S057'!$1:$4</definedName>
    <definedName name="_xlnm.Print_Titles" localSheetId="6">'20 S061'!$1:$4</definedName>
    <definedName name="_xlnm.Print_Titles" localSheetId="7">'20 S070'!$1:$4</definedName>
    <definedName name="_xlnm.Print_Titles" localSheetId="8">'20 S071'!$1:$4</definedName>
    <definedName name="_xlnm.Print_Titles" localSheetId="9">'20 S072'!$1:$4</definedName>
    <definedName name="_xlnm.Print_Titles" localSheetId="10">'20 S118'!$1:$4</definedName>
    <definedName name="_xlnm.Print_Titles" localSheetId="11">'20 S155'!$1:$4</definedName>
    <definedName name="_xlnm.Print_Titles" localSheetId="12">'20 S174'!$1:$4</definedName>
    <definedName name="_xlnm.Print_Titles" localSheetId="13">'20 S176'!$1:$4</definedName>
    <definedName name="_xlnm.Print_Titles" localSheetId="14">'20 S216'!$1:$4</definedName>
    <definedName name="_xlnm.Print_Titles" localSheetId="15">'20 U008'!$1:$4</definedName>
    <definedName name="_xlnm.Print_Titles" localSheetId="0">Portada!$1:$4</definedName>
  </definedNames>
  <calcPr calcId="145621"/>
</workbook>
</file>

<file path=xl/calcChain.xml><?xml version="1.0" encoding="utf-8"?>
<calcChain xmlns="http://schemas.openxmlformats.org/spreadsheetml/2006/main">
  <c r="U20" i="8" l="1"/>
  <c r="U11" i="7"/>
  <c r="U26" i="16" l="1"/>
  <c r="U25" i="16"/>
  <c r="U21" i="16"/>
  <c r="U20" i="16"/>
  <c r="U19" i="16"/>
  <c r="U18" i="16"/>
  <c r="U17" i="16"/>
  <c r="U16" i="16"/>
  <c r="U15" i="16"/>
  <c r="U14" i="16"/>
  <c r="U13" i="16"/>
  <c r="U12" i="16"/>
  <c r="U11" i="16"/>
  <c r="U62" i="15"/>
  <c r="U61" i="15"/>
  <c r="U57" i="15"/>
  <c r="U56" i="15"/>
  <c r="U55" i="15"/>
  <c r="U54" i="15"/>
  <c r="U53" i="15"/>
  <c r="U52" i="15"/>
  <c r="U51" i="15"/>
  <c r="U50" i="15"/>
  <c r="U49" i="15"/>
  <c r="U48" i="15"/>
  <c r="U47" i="15"/>
  <c r="U46" i="15"/>
  <c r="U45" i="15"/>
  <c r="U44" i="15"/>
  <c r="U43" i="15"/>
  <c r="U42" i="15"/>
  <c r="U41" i="15"/>
  <c r="U40" i="15"/>
  <c r="U39" i="15"/>
  <c r="U38" i="15"/>
  <c r="U37" i="15"/>
  <c r="U36" i="15"/>
  <c r="U35" i="15"/>
  <c r="U34" i="15"/>
  <c r="U33" i="15"/>
  <c r="U32" i="15"/>
  <c r="U31" i="15"/>
  <c r="U30" i="15"/>
  <c r="U29" i="15"/>
  <c r="U28" i="15"/>
  <c r="U27" i="15"/>
  <c r="U26" i="15"/>
  <c r="U25" i="15"/>
  <c r="U24" i="15"/>
  <c r="U23" i="15"/>
  <c r="U22" i="15"/>
  <c r="U21" i="15"/>
  <c r="U20" i="15"/>
  <c r="U19" i="15"/>
  <c r="U18" i="15"/>
  <c r="U17" i="15"/>
  <c r="U16" i="15"/>
  <c r="U15" i="15"/>
  <c r="U14" i="15"/>
  <c r="U13" i="15"/>
  <c r="U12" i="15"/>
  <c r="U11" i="15"/>
  <c r="U26" i="14"/>
  <c r="U21" i="14"/>
  <c r="U20" i="14"/>
  <c r="U19" i="14"/>
  <c r="U18" i="14"/>
  <c r="U17" i="14"/>
  <c r="U16" i="14"/>
  <c r="U15" i="14"/>
  <c r="U14" i="14"/>
  <c r="U12" i="14"/>
  <c r="U33" i="13"/>
  <c r="U32" i="13"/>
  <c r="U28" i="13"/>
  <c r="U27" i="13"/>
  <c r="U26" i="13"/>
  <c r="U25" i="13"/>
  <c r="U24" i="13"/>
  <c r="U23" i="13"/>
  <c r="U22" i="13"/>
  <c r="U21" i="13"/>
  <c r="U20" i="13"/>
  <c r="U19" i="13"/>
  <c r="U18" i="13"/>
  <c r="U17" i="13"/>
  <c r="U16" i="13"/>
  <c r="U15" i="13"/>
  <c r="U14" i="13"/>
  <c r="U13" i="13"/>
  <c r="U12" i="13"/>
  <c r="U11" i="13"/>
  <c r="U24" i="12"/>
  <c r="U23" i="12"/>
  <c r="U22" i="12"/>
  <c r="U21" i="12"/>
  <c r="U20" i="12"/>
  <c r="U19" i="12"/>
  <c r="U18" i="12"/>
  <c r="U17" i="12"/>
  <c r="U15" i="12"/>
  <c r="U14" i="12"/>
  <c r="U22" i="11"/>
  <c r="U21" i="11"/>
  <c r="U17" i="11"/>
  <c r="U16" i="11"/>
  <c r="U15" i="11"/>
  <c r="U14" i="11"/>
  <c r="U49" i="10"/>
  <c r="U48" i="10"/>
  <c r="U44" i="10"/>
  <c r="U43" i="10"/>
  <c r="U42" i="10"/>
  <c r="U41" i="10"/>
  <c r="U40" i="10"/>
  <c r="U39" i="10"/>
  <c r="U38" i="10"/>
  <c r="U37" i="10"/>
  <c r="U36" i="10"/>
  <c r="U35" i="10"/>
  <c r="U34" i="10"/>
  <c r="U33" i="10"/>
  <c r="U32" i="10"/>
  <c r="U31" i="10"/>
  <c r="U30" i="10"/>
  <c r="U29" i="10"/>
  <c r="U28" i="10"/>
  <c r="U27" i="10"/>
  <c r="U26" i="10"/>
  <c r="U25" i="10"/>
  <c r="U24" i="10"/>
  <c r="U23" i="10"/>
  <c r="U22" i="10"/>
  <c r="U21" i="10"/>
  <c r="U20" i="10"/>
  <c r="U19" i="10"/>
  <c r="U18" i="10"/>
  <c r="U16" i="10"/>
  <c r="U15" i="10"/>
  <c r="U14" i="10"/>
  <c r="U12" i="10"/>
  <c r="U25" i="9"/>
  <c r="U24" i="9"/>
  <c r="U20" i="9"/>
  <c r="U19" i="9"/>
  <c r="U18" i="9"/>
  <c r="U17" i="9"/>
  <c r="U16" i="9"/>
  <c r="U15" i="9"/>
  <c r="U14" i="9"/>
  <c r="U13" i="9"/>
  <c r="U12" i="9"/>
  <c r="U28" i="8"/>
  <c r="U27" i="8"/>
  <c r="U26" i="8"/>
  <c r="U25" i="8"/>
  <c r="U24" i="8"/>
  <c r="U23" i="8"/>
  <c r="U22" i="8"/>
  <c r="U21" i="8"/>
  <c r="U19" i="8"/>
  <c r="U18" i="8"/>
  <c r="U17" i="8"/>
  <c r="U16" i="8"/>
  <c r="U15" i="8"/>
  <c r="U14" i="8"/>
  <c r="U13" i="8"/>
  <c r="U12" i="8"/>
  <c r="U11" i="8"/>
  <c r="U30" i="7"/>
  <c r="U29" i="7"/>
  <c r="U25" i="7"/>
  <c r="U24" i="7"/>
  <c r="U23" i="7"/>
  <c r="U22" i="7"/>
  <c r="U21" i="7"/>
  <c r="U20" i="7"/>
  <c r="U19" i="7"/>
  <c r="U18" i="7"/>
  <c r="U17" i="7"/>
  <c r="U16" i="7"/>
  <c r="U15" i="7"/>
  <c r="U14" i="7"/>
  <c r="U13" i="7"/>
  <c r="U12" i="7"/>
  <c r="U31" i="6"/>
  <c r="U30" i="6"/>
  <c r="U26" i="6"/>
  <c r="U25" i="6"/>
  <c r="U24" i="6"/>
  <c r="U23" i="6"/>
  <c r="U22" i="6"/>
  <c r="U21" i="6"/>
  <c r="U20" i="6"/>
  <c r="U19" i="6"/>
  <c r="U18" i="6"/>
  <c r="U17" i="6"/>
  <c r="U16" i="6"/>
  <c r="U15" i="6"/>
  <c r="U14" i="6"/>
  <c r="U13" i="6"/>
  <c r="U12" i="6"/>
  <c r="U11" i="6"/>
  <c r="U29" i="5"/>
  <c r="U28" i="5"/>
  <c r="U24" i="5"/>
  <c r="U22" i="5"/>
  <c r="U21" i="5"/>
  <c r="U20" i="5"/>
  <c r="U19" i="5"/>
  <c r="U17" i="5"/>
  <c r="U16" i="5"/>
  <c r="U15" i="5"/>
  <c r="U14" i="5"/>
  <c r="U13" i="5"/>
  <c r="U11" i="5"/>
  <c r="U30" i="4"/>
  <c r="U29" i="4"/>
  <c r="U28" i="4"/>
  <c r="U27" i="4"/>
  <c r="U26" i="4"/>
  <c r="U25" i="4"/>
  <c r="U24" i="4"/>
  <c r="U23" i="4"/>
  <c r="U22" i="4"/>
  <c r="U21" i="4"/>
  <c r="U20" i="4"/>
  <c r="U19" i="4"/>
  <c r="U18" i="4"/>
  <c r="U17" i="4"/>
  <c r="U16" i="4"/>
  <c r="U15" i="4"/>
  <c r="U14" i="4"/>
  <c r="U13" i="4"/>
  <c r="U12" i="4"/>
  <c r="U34" i="3"/>
  <c r="U30" i="3"/>
  <c r="U29" i="3"/>
  <c r="U28" i="3"/>
  <c r="U27" i="3"/>
  <c r="U26" i="3"/>
  <c r="U25" i="3"/>
  <c r="U24" i="3"/>
  <c r="U23" i="3"/>
  <c r="U22" i="3"/>
  <c r="U21" i="3"/>
  <c r="U20" i="3"/>
  <c r="U19" i="3"/>
  <c r="U18" i="3"/>
  <c r="U17" i="3"/>
  <c r="U16" i="3"/>
  <c r="U15" i="3"/>
  <c r="U14" i="3"/>
  <c r="U13" i="3"/>
  <c r="U12" i="3"/>
  <c r="U11" i="3"/>
  <c r="U19" i="2"/>
  <c r="U18" i="2"/>
  <c r="U14" i="2"/>
  <c r="U13" i="2"/>
  <c r="U12" i="2"/>
  <c r="U11" i="2"/>
  <c r="U25" i="14" l="1"/>
  <c r="U29" i="12"/>
  <c r="U28" i="12"/>
  <c r="U32" i="8"/>
  <c r="U33" i="8"/>
  <c r="U35" i="4"/>
  <c r="U34" i="4"/>
  <c r="U35" i="3"/>
</calcChain>
</file>

<file path=xl/sharedStrings.xml><?xml version="1.0" encoding="utf-8"?>
<sst xmlns="http://schemas.openxmlformats.org/spreadsheetml/2006/main" count="2556" uniqueCount="1057">
  <si>
    <t>Avance en los Indicadores de los Programas presupuestarios de la Administración Pública Federal</t>
  </si>
  <si>
    <t xml:space="preserve">    Ejercicio Fiscal 2013</t>
  </si>
  <si>
    <t>Ramo 20
Desarrollo Social</t>
  </si>
  <si>
    <t>Programas presupuestarios cuya MIR se incluye en el reporte</t>
  </si>
  <si>
    <t xml:space="preserve">E-003 Servicios a grupos con necesidades especiales
S-052 Programa de Abasto Social de Leche a cargo de Liconsa, S.A. de C.V.
S-053 Programa de Abasto Rural a cargo de Diconsa, S.A. de C.V. (DICONSA)
S-054 Programa de Opciones Productivas
S-057 Programas del Fondo Nacional de Fomento a las Artesanías (FONART)
S-061 Programa 3 x 1 para Migrantes
S-070 Programa de Coinversión Social
S-071 Programa de Empleo Temporal (PET)
S-072 Programa de Desarrollo Humano Oportunidades
S-118 Programa de Apoyo Alimentario
S-155 Programa de Apoyo a las Instancias de Mujeres en las Entidades Federativas, Para Implementar y Ejecutar Programas de Prevención de la Violencia Contra las Mujeres
S-174 Programa de estancias infantiles para apoyar a madres trabajadoras
S-176 Pensión para Adultos Mayores
S-216 Programa para el Desarrollo de Zonas Prioritarias
U-008 Subsidios a programas para jóvenes
</t>
  </si>
  <si>
    <t>DATOS DEL PROGRAMA</t>
  </si>
  <si>
    <t>Programa presupuestario</t>
  </si>
  <si>
    <t>E003</t>
  </si>
  <si>
    <t>Servicios a grupos con necesidades especiales</t>
  </si>
  <si>
    <t>Ramo</t>
  </si>
  <si>
    <t>20</t>
  </si>
  <si>
    <t>Desarrollo Social</t>
  </si>
  <si>
    <t>Unidad responsable</t>
  </si>
  <si>
    <t>V3A-Instituto Nacional de las Personas Adultas Mayores</t>
  </si>
  <si>
    <t>Enfoques transversales</t>
  </si>
  <si>
    <t>Clasificación Funcional</t>
  </si>
  <si>
    <t>Finalidad</t>
  </si>
  <si>
    <t>2 - Desarrollo Social</t>
  </si>
  <si>
    <t>Función</t>
  </si>
  <si>
    <t>6 - Protección Social</t>
  </si>
  <si>
    <t>Subfunción</t>
  </si>
  <si>
    <t>8 - Otros Grupos Vulnerables</t>
  </si>
  <si>
    <t>Actividad Institucional</t>
  </si>
  <si>
    <t>8 - Apoyo al ingreso, a la salud y a la educación de las familias en pobreza</t>
  </si>
  <si>
    <t>RESULTADOS</t>
  </si>
  <si>
    <t>NIVEL</t>
  </si>
  <si>
    <t>OBJETIVOS</t>
  </si>
  <si>
    <t>INDICADORES</t>
  </si>
  <si>
    <t>AVANCE</t>
  </si>
  <si>
    <t>Denominación</t>
  </si>
  <si>
    <t>Método de cálculo</t>
  </si>
  <si>
    <t>Unidad de medida</t>
  </si>
  <si>
    <t>Tipo-Dimensión-Frecuencia</t>
  </si>
  <si>
    <t>Meta anual</t>
  </si>
  <si>
    <t>Realizado al periodo</t>
  </si>
  <si>
    <t>Avance % anual vs Modificada</t>
  </si>
  <si>
    <t>Aprobada</t>
  </si>
  <si>
    <t>Modificada</t>
  </si>
  <si>
    <t>Componente</t>
  </si>
  <si>
    <t>A Adultos Mayores reciben descuentos (precios preferenciales) para la adquisición de bienes y servicios acordes a sus hábitos de consumo.</t>
  </si>
  <si>
    <r>
      <t>Adultos mayores cuentan con su tarjeta INAPAM.</t>
    </r>
    <r>
      <rPr>
        <i/>
        <sz val="10"/>
        <color indexed="30"/>
        <rFont val="Soberana Sans"/>
        <family val="3"/>
      </rPr>
      <t xml:space="preserve">
Indicador Seleccionado</t>
    </r>
  </si>
  <si>
    <t xml:space="preserve">(Cantidad de adultos mayores que cuentan con su tarjeta INAPAM/ Cantidad de adultos  en el año) X 100 </t>
  </si>
  <si>
    <t>Adulto</t>
  </si>
  <si>
    <t>Gestión-Eficiencia-Trimestral</t>
  </si>
  <si>
    <t>Actividad</t>
  </si>
  <si>
    <t>A 1 Adultos Mayores en situación de dependencia  cuentan con atención.</t>
  </si>
  <si>
    <r>
      <t>Supervisión a centros donde se brinde atención a Personas Adultas Mayores</t>
    </r>
    <r>
      <rPr>
        <i/>
        <sz val="10"/>
        <color indexed="30"/>
        <rFont val="Soberana Sans"/>
        <family val="3"/>
      </rPr>
      <t xml:space="preserve">
</t>
    </r>
  </si>
  <si>
    <t>Cantidad de visitas de supervisión realizadas/ Cantidad de visitas programadas x100</t>
  </si>
  <si>
    <t>Porcentaje</t>
  </si>
  <si>
    <t/>
  </si>
  <si>
    <t>A 2 Adultos mayores canalizados para su atención jurídica.</t>
  </si>
  <si>
    <r>
      <t>Porcentaje de Personas Adultas Mayores con problemas de índole legal y jurídico atendidas</t>
    </r>
    <r>
      <rPr>
        <i/>
        <sz val="10"/>
        <color indexed="30"/>
        <rFont val="Soberana Sans"/>
        <family val="3"/>
      </rPr>
      <t xml:space="preserve">
</t>
    </r>
  </si>
  <si>
    <t>PAMs atendidas mediante servicios jurídicos y legales + PAMs canalizadas a la institución competente/ Servicios programados  x 100</t>
  </si>
  <si>
    <t>Gestión-Eficacia-Mensual</t>
  </si>
  <si>
    <t>A 3 Adultos mayores cuentan con un club INAPAM en su municipio</t>
  </si>
  <si>
    <r>
      <t>Personas Adultas Mayores que cuentan con un Club INAPAM en su municipio</t>
    </r>
    <r>
      <rPr>
        <i/>
        <sz val="10"/>
        <color indexed="30"/>
        <rFont val="Soberana Sans"/>
        <family val="3"/>
      </rPr>
      <t xml:space="preserve">
</t>
    </r>
  </si>
  <si>
    <t>Cantidad de PAMs en situación vulnerable que cuentan con club INAPAM en su municipio/ Cantidad de PAMs habitantes de los Municipios marcados en la Cruzada Nacional Contra el Hambre como  carentes de alimentación y en pobreza extrema del país) X 100</t>
  </si>
  <si>
    <t>Gestión-Eficacia-Semestral</t>
  </si>
  <si>
    <t>PRESUPUESTO</t>
  </si>
  <si>
    <t>Ejercicio</t>
  </si>
  <si>
    <t>Avance %</t>
  </si>
  <si>
    <t>Millones de pesos</t>
  </si>
  <si>
    <t>Anual</t>
  </si>
  <si>
    <t>PRESUPUESTO ORIGINAL</t>
  </si>
  <si>
    <t>PRESUPUESTO MODIFICADO</t>
  </si>
  <si>
    <t>Justificación de diferencia de avances con respecto a las metas programadas</t>
  </si>
  <si>
    <t xml:space="preserve">Indicadores con frecuencia de medición con un periodo mayor de tiempo al anual. 
Estos indicadores no registraron información ni justificación, debido a que lo harán de conformidad con la frecuencia de medición con la que programaron sus metas. </t>
  </si>
  <si>
    <r>
      <t xml:space="preserve">Adultos mayores cuentan con su tarjeta INAPAM.
</t>
    </r>
    <r>
      <rPr>
        <sz val="10"/>
        <rFont val="Soberana Sans"/>
        <family val="2"/>
      </rPr>
      <t xml:space="preserve"> Causa : No se otorgaron tarjetas de afiliación en los estados donde se aplicó la veda electoral del 23 de mayo al 8 de julio.  Efecto: No se alcanzó la meta Otros Motivos:</t>
    </r>
  </si>
  <si>
    <r>
      <t xml:space="preserve">Supervisión a centros donde se brinde atención a Personas Adultas Mayores
</t>
    </r>
    <r>
      <rPr>
        <sz val="10"/>
        <rFont val="Soberana Sans"/>
        <family val="2"/>
      </rPr>
      <t xml:space="preserve"> Causa : Se llevaron a cabo todas las visitas de supervisión programadas en el ejercicio 2013. Efecto: Se cumplió la meta ptrogramada. Otros Motivos:</t>
    </r>
  </si>
  <si>
    <r>
      <t xml:space="preserve">Porcentaje de Personas Adultas Mayores con problemas de índole legal y jurídico atendidas
</t>
    </r>
    <r>
      <rPr>
        <sz val="10"/>
        <rFont val="Soberana Sans"/>
        <family val="2"/>
      </rPr>
      <t xml:space="preserve"> Causa : Baja afluencia a partir de que solo se otorga asesoría jurídica y no representación ante tribunales.  Las personas adultas mayores que solicitan el servicio son canalizadas a las instancias competentes para la adecuada atención de sus problemas.  No existe suficiente difusión del servicio.  Efecto: No se cumplió la meta ptrogramada Otros Motivos:</t>
    </r>
  </si>
  <si>
    <r>
      <t xml:space="preserve">Personas Adultas Mayores que cuentan con un Club INAPAM en su municipio
</t>
    </r>
    <r>
      <rPr>
        <sz val="10"/>
        <rFont val="Soberana Sans"/>
        <family val="2"/>
      </rPr>
      <t xml:space="preserve"> Causa : Las acciones de difusión no fueron suficientes para la anexión de nuevos clubes al registro del INAPAM en los municipios de la república. Efecto: No se cumplió la meta programada Otros Motivos:</t>
    </r>
  </si>
  <si>
    <t>S052</t>
  </si>
  <si>
    <t>Programa de Abasto Social de Leche a cargo de Liconsa, S.A. de C.V.</t>
  </si>
  <si>
    <t>VST-Liconsa, S.A. de C.V.</t>
  </si>
  <si>
    <t>10 - Atención de la población urbana y rural en pobreza</t>
  </si>
  <si>
    <t>Fin</t>
  </si>
  <si>
    <t>Contribuir al desarrollo de capacidades básicas mejorando la nutrición y la alimentación de la población cuyo ingreso está por debajo de la línea de bienestar.</t>
  </si>
  <si>
    <r>
      <t>Prevalencia de desnutrición, en niños menores de 5 años (talla para la edad).</t>
    </r>
    <r>
      <rPr>
        <i/>
        <sz val="10"/>
        <color indexed="30"/>
        <rFont val="Soberana Sans"/>
        <family val="3"/>
      </rPr>
      <t xml:space="preserve">
</t>
    </r>
  </si>
  <si>
    <t>(Número de niños menores de 5 años en situación de desnutrición / Total de población de niños menores de 5 años) * 100</t>
  </si>
  <si>
    <t>Estratégico-Eficacia-Quinquenal</t>
  </si>
  <si>
    <t>N/A</t>
  </si>
  <si>
    <t>Propósito</t>
  </si>
  <si>
    <t>Apoyar a los hogares beneficiarios mediante el acceso al consumo de leche fortificada de calidad a bajo precio.</t>
  </si>
  <si>
    <r>
      <t>Margen de ahorro por litro de leche de las familias beneficiarias del programa.</t>
    </r>
    <r>
      <rPr>
        <i/>
        <sz val="10"/>
        <color indexed="30"/>
        <rFont val="Soberana Sans"/>
        <family val="3"/>
      </rPr>
      <t xml:space="preserve">
</t>
    </r>
  </si>
  <si>
    <t>((Precio comercial de leches equivalentes a la leche distribuida por Liconsa - precio de leche Liconsa) / Precio comercial de leches equivalentes a la leche distribuida por Liconsa) *100</t>
  </si>
  <si>
    <t>Estratégico-Eficacia-Trimestral</t>
  </si>
  <si>
    <r>
      <t>Porcentaje de cobertura de los hogares objetivo.</t>
    </r>
    <r>
      <rPr>
        <i/>
        <sz val="10"/>
        <color indexed="30"/>
        <rFont val="Soberana Sans"/>
        <family val="3"/>
      </rPr>
      <t xml:space="preserve">
</t>
    </r>
  </si>
  <si>
    <t>(Hogares atendidos / Hogares objetivo) *100</t>
  </si>
  <si>
    <t>A Leche fortificada de bajo precio distribuida.</t>
  </si>
  <si>
    <r>
      <t>Porcentaje de beneficiarios por niñas y niños de 6 meses a 12 años de edad respecto del total del padrón</t>
    </r>
    <r>
      <rPr>
        <i/>
        <sz val="10"/>
        <color indexed="30"/>
        <rFont val="Soberana Sans"/>
        <family val="3"/>
      </rPr>
      <t xml:space="preserve">
</t>
    </r>
  </si>
  <si>
    <t>(Niñas y niños menores de 12 años atendidos / Total de población beneficiaria) *100</t>
  </si>
  <si>
    <t>Gestión-Eficacia-Trimestral</t>
  </si>
  <si>
    <r>
      <t>Costo integrado por litro de leche.</t>
    </r>
    <r>
      <rPr>
        <i/>
        <sz val="10"/>
        <color indexed="30"/>
        <rFont val="Soberana Sans"/>
        <family val="3"/>
      </rPr>
      <t xml:space="preserve">
</t>
    </r>
  </si>
  <si>
    <t>(Costos de producción + Costos de operación)</t>
  </si>
  <si>
    <t>Pesos</t>
  </si>
  <si>
    <t>Gestión-Economía-Trimestral</t>
  </si>
  <si>
    <r>
      <t>Promedio de litros distribuidos por beneficiario al mes (Factor de retiro)</t>
    </r>
    <r>
      <rPr>
        <i/>
        <sz val="10"/>
        <color indexed="30"/>
        <rFont val="Soberana Sans"/>
        <family val="3"/>
      </rPr>
      <t xml:space="preserve">
</t>
    </r>
  </si>
  <si>
    <t>(Litros distribuidos / Número de beneficiarios)</t>
  </si>
  <si>
    <t>Litro</t>
  </si>
  <si>
    <r>
      <t>Número de hogares atendidos por el Programa de Abasto Social de Leche</t>
    </r>
    <r>
      <rPr>
        <i/>
        <sz val="10"/>
        <color indexed="30"/>
        <rFont val="Soberana Sans"/>
        <family val="3"/>
      </rPr>
      <t xml:space="preserve">
</t>
    </r>
  </si>
  <si>
    <t>Número de hogares.</t>
  </si>
  <si>
    <t>Hogar</t>
  </si>
  <si>
    <r>
      <t>Número de beneficiarios atendidos del programa de abasto social</t>
    </r>
    <r>
      <rPr>
        <i/>
        <sz val="10"/>
        <color indexed="30"/>
        <rFont val="Soberana Sans"/>
        <family val="3"/>
      </rPr>
      <t xml:space="preserve">
Indicador Seleccionado</t>
    </r>
  </si>
  <si>
    <t>Número de beneficiarios del programa</t>
  </si>
  <si>
    <t>Persona</t>
  </si>
  <si>
    <r>
      <t>Porcentaje de beneficiarios por género</t>
    </r>
    <r>
      <rPr>
        <i/>
        <sz val="10"/>
        <color indexed="30"/>
        <rFont val="Soberana Sans"/>
        <family val="3"/>
      </rPr>
      <t xml:space="preserve">
</t>
    </r>
  </si>
  <si>
    <t>(Total de población femenina atendida / Total de población beneficiaria) *100</t>
  </si>
  <si>
    <r>
      <t>Porcentaje de beneficiarios niñas y niños menores de 5 años.</t>
    </r>
    <r>
      <rPr>
        <i/>
        <sz val="10"/>
        <color indexed="30"/>
        <rFont val="Soberana Sans"/>
        <family val="3"/>
      </rPr>
      <t xml:space="preserve">
</t>
    </r>
  </si>
  <si>
    <t>(Niñas y niños menores de 5 años atendidos / Total de población beneficiaria) *100</t>
  </si>
  <si>
    <r>
      <t>Número de litros de leche distribuidos para el abasto social</t>
    </r>
    <r>
      <rPr>
        <i/>
        <sz val="10"/>
        <color indexed="30"/>
        <rFont val="Soberana Sans"/>
        <family val="3"/>
      </rPr>
      <t xml:space="preserve">
Indicador Seleccionado</t>
    </r>
  </si>
  <si>
    <t>Número de litros de leche distribuidos</t>
  </si>
  <si>
    <r>
      <t>Porcentaje de cumplimiento de atención a la población programada</t>
    </r>
    <r>
      <rPr>
        <i/>
        <sz val="10"/>
        <color indexed="30"/>
        <rFont val="Soberana Sans"/>
        <family val="3"/>
      </rPr>
      <t xml:space="preserve">
</t>
    </r>
  </si>
  <si>
    <t>(Población atendida / Polación programada) X 100</t>
  </si>
  <si>
    <r>
      <t>Porcentaje de cumplimiento del Programa de Distribución</t>
    </r>
    <r>
      <rPr>
        <i/>
        <sz val="10"/>
        <color indexed="30"/>
        <rFont val="Soberana Sans"/>
        <family val="3"/>
      </rPr>
      <t xml:space="preserve">
</t>
    </r>
  </si>
  <si>
    <t>( Litros distribuidos / Litros programados ) X 100</t>
  </si>
  <si>
    <r>
      <t>Cobertura de los hogares programados</t>
    </r>
    <r>
      <rPr>
        <i/>
        <sz val="10"/>
        <color indexed="30"/>
        <rFont val="Soberana Sans"/>
        <family val="3"/>
      </rPr>
      <t xml:space="preserve">
</t>
    </r>
  </si>
  <si>
    <t>(Hogares atendidos / Hogares pogramados) X 100</t>
  </si>
  <si>
    <t>A 1 Producción y fortificación de leche.</t>
  </si>
  <si>
    <r>
      <t>Porcentaje de participación de leche fluida en la producción de Liconsa.</t>
    </r>
    <r>
      <rPr>
        <i/>
        <sz val="10"/>
        <color indexed="30"/>
        <rFont val="Soberana Sans"/>
        <family val="3"/>
      </rPr>
      <t xml:space="preserve">
</t>
    </r>
  </si>
  <si>
    <t>(Litros producidos de leche fluida / Litros de leche producidos totales) *100</t>
  </si>
  <si>
    <r>
      <t>Litros producidos para el Programa de Abasto Social de Leche.</t>
    </r>
    <r>
      <rPr>
        <i/>
        <sz val="10"/>
        <color indexed="30"/>
        <rFont val="Soberana Sans"/>
        <family val="3"/>
      </rPr>
      <t xml:space="preserve">
</t>
    </r>
  </si>
  <si>
    <t>Litros producidos</t>
  </si>
  <si>
    <r>
      <t>Porcentaje de cumplimiento del contenido de ácido fólico en leche fortificada Liconsa.</t>
    </r>
    <r>
      <rPr>
        <i/>
        <sz val="10"/>
        <color indexed="30"/>
        <rFont val="Soberana Sans"/>
        <family val="3"/>
      </rPr>
      <t xml:space="preserve">
</t>
    </r>
  </si>
  <si>
    <t>(Acido fólico promedio en leche Liconsa / Contenido de ácido fólico que marca la etiqueta) * 100</t>
  </si>
  <si>
    <t>Gestión-Calidad-Trimestral</t>
  </si>
  <si>
    <r>
      <t>Porcentaje de cumplimiento del contenido de proteínas en la leche fortificada Liconsa respecto a lo establecido en la NOM-155-SFI-2003.</t>
    </r>
    <r>
      <rPr>
        <i/>
        <sz val="10"/>
        <color indexed="30"/>
        <rFont val="Soberana Sans"/>
        <family val="3"/>
      </rPr>
      <t xml:space="preserve">
</t>
    </r>
  </si>
  <si>
    <t>(Contenido proteico en leche Liconsa / Contenido de proteínas que marca la NOM) * 100</t>
  </si>
  <si>
    <r>
      <t>Porcentaje de cumplimiento del contenido de hierro en leche fortificada Liconsa.</t>
    </r>
    <r>
      <rPr>
        <i/>
        <sz val="10"/>
        <color indexed="30"/>
        <rFont val="Soberana Sans"/>
        <family val="3"/>
      </rPr>
      <t xml:space="preserve">
</t>
    </r>
  </si>
  <si>
    <t>(Hierro promedio en leche Liconsa / Contenido de hierro que marca la etiqueta) * 100</t>
  </si>
  <si>
    <t>A 2 Identificación de beneficiarios.</t>
  </si>
  <si>
    <r>
      <t>Incremento neto del padrón de beneficiarios.</t>
    </r>
    <r>
      <rPr>
        <i/>
        <sz val="10"/>
        <color indexed="30"/>
        <rFont val="Soberana Sans"/>
        <family val="3"/>
      </rPr>
      <t xml:space="preserve">
</t>
    </r>
  </si>
  <si>
    <t>(Número de beneficiarios atendidos del período actual - Número de beneficiarios atendidos del período anterior)</t>
  </si>
  <si>
    <t>Beneficiario</t>
  </si>
  <si>
    <t>Gestión-Eficiencia-Anual</t>
  </si>
  <si>
    <r>
      <t xml:space="preserve">Margen de ahorro por litro de leche de las familias beneficiarias del programa.
</t>
    </r>
    <r>
      <rPr>
        <sz val="10"/>
        <rFont val="Soberana Sans"/>
        <family val="2"/>
      </rPr>
      <t xml:space="preserve"> Causa : Durante el ejercicio 2013 se mantuvo el precio de venta de la leche de Abasto Social (PASL) en 4.50 pesos por litro, mientras que el precio de leches comerciales equivalentes alcanzó los 13.73 pesos por litro en promedio, lo cual representó para la población beneficiaria que por cada litro que adquirieron de leche del PASL, ahorraron el 67.13%. Efecto:  Otros Motivos:</t>
    </r>
  </si>
  <si>
    <r>
      <t xml:space="preserve">Porcentaje de cobertura de los hogares objetivo.
</t>
    </r>
    <r>
      <rPr>
        <sz val="10"/>
        <rFont val="Soberana Sans"/>
        <family val="2"/>
      </rPr>
      <t xml:space="preserve"> Causa : Como resultado de la implementación de acciones en la Cruzada Nacional Contra el Hambre, el indicador supera la meta. Efecto:  Otros Motivos:</t>
    </r>
  </si>
  <si>
    <r>
      <t xml:space="preserve">Porcentaje de beneficiarios por niñas y niños de 6 meses a 12 años de edad respecto del total del padrón
</t>
    </r>
    <r>
      <rPr>
        <sz val="10"/>
        <rFont val="Soberana Sans"/>
        <family val="2"/>
      </rPr>
      <t xml:space="preserve"> Causa : Con la implementación de acciones en municipio de  la Cruzada Nacional Contra el Hambre, el número de beneficiarios atendidos se incremento, con respecto a este indicador el resultado fue muy similar a la meta esperada.  Efecto:  Otros Motivos:</t>
    </r>
  </si>
  <si>
    <r>
      <t xml:space="preserve">Costo integrado por litro de leche.
</t>
    </r>
    <r>
      <rPr>
        <sz val="10"/>
        <rFont val="Soberana Sans"/>
        <family val="2"/>
      </rPr>
      <t xml:space="preserve"> Causa : Derivado a la mejora de procesos en las plantas industriales de Liconsa y aunado a los ahorros obtenidos por las compras anticipadas de leche en polvo de importación se obtuvo un resultado positivo por abajo de la meta. Efecto:  Otros Motivos:</t>
    </r>
  </si>
  <si>
    <r>
      <t xml:space="preserve">Promedio de litros distribuidos por beneficiario al mes (Factor de retiro)
</t>
    </r>
    <r>
      <rPr>
        <sz val="10"/>
        <rFont val="Soberana Sans"/>
        <family val="2"/>
      </rPr>
      <t xml:space="preserve"> Causa : Como parte de las acciones del Gobierno Federal en la Cruzada Nacional Contra el Hambre, se incorporaron poco más de 776 mil beneficiarios, quienes por su caracterísitca de población en pobreza extrema y con carencia alimentaria, no cuentan con los recursos necesarios para retirar la dotación asignada, propiciando que el factor de retiro promedio que mide este indicador, fuera menor a lo programado. Efecto:  Otros Motivos:</t>
    </r>
  </si>
  <si>
    <r>
      <t xml:space="preserve">Número de hogares atendidos por el Programa de Abasto Social de Leche
</t>
    </r>
    <r>
      <rPr>
        <sz val="10"/>
        <rFont val="Soberana Sans"/>
        <family val="2"/>
      </rPr>
      <t xml:space="preserve"> Causa : Como resultado de la implementación de acciones en la Cruzada Nacional Contra el Hambre, el indicador supera la meta. Efecto:  Otros Motivos:</t>
    </r>
  </si>
  <si>
    <r>
      <t xml:space="preserve">Número de beneficiarios atendidos del programa de abasto social
</t>
    </r>
    <r>
      <rPr>
        <sz val="10"/>
        <rFont val="Soberana Sans"/>
        <family val="2"/>
      </rPr>
      <t xml:space="preserve"> Causa : Como resultado de la implementación de las acciones en la Cruzada Nacional Contra el Hambre, el indicador supera la meta establecida. Efecto:  Otros Motivos:</t>
    </r>
  </si>
  <si>
    <r>
      <t xml:space="preserve">Porcentaje de beneficiarios por género
</t>
    </r>
    <r>
      <rPr>
        <sz val="10"/>
        <rFont val="Soberana Sans"/>
        <family val="2"/>
      </rPr>
      <t xml:space="preserve"> Causa : Como resultado de la implementación de acciones en la Cruzada Nacional Contra el Hambre, el indicador supera la meta. Efecto:  Otros Motivos:</t>
    </r>
  </si>
  <si>
    <r>
      <t xml:space="preserve">Porcentaje de beneficiarios niñas y niños menores de 5 años.
</t>
    </r>
    <r>
      <rPr>
        <sz val="10"/>
        <rFont val="Soberana Sans"/>
        <family val="2"/>
      </rPr>
      <t xml:space="preserve"> Causa : Derivado a las acciones de la Cruzada Nacional Cruzada Contra el Hambre el padrón se incremento, la proporción de niños atendidos menores de 5 años fue muy similar a la meta esperada. Efecto:  Otros Motivos:</t>
    </r>
  </si>
  <si>
    <r>
      <t xml:space="preserve">Número de litros de leche distribuidos para el abasto social
</t>
    </r>
    <r>
      <rPr>
        <sz val="10"/>
        <rFont val="Soberana Sans"/>
        <family val="2"/>
      </rPr>
      <t xml:space="preserve"> Causa : Al cierre de 2013 no se alcanzo la meta debido al poco retiro de leche por parte de los nuevos beneficiarios de la Cruzada Nacional Contra el Hambre. Efecto:  Otros Motivos:</t>
    </r>
  </si>
  <si>
    <r>
      <t xml:space="preserve">Porcentaje de cumplimiento de atención a la población programada
</t>
    </r>
    <r>
      <rPr>
        <sz val="10"/>
        <rFont val="Soberana Sans"/>
        <family val="2"/>
      </rPr>
      <t xml:space="preserve"> Causa : Como resultado de la implementación de las acciones en la Cruzada Nacional Contra el Hambre, el indicador supera la meta establecida. Efecto:  Otros Motivos:</t>
    </r>
  </si>
  <si>
    <r>
      <t xml:space="preserve">Porcentaje de cumplimiento del Programa de Distribución
</t>
    </r>
    <r>
      <rPr>
        <sz val="10"/>
        <rFont val="Soberana Sans"/>
        <family val="2"/>
      </rPr>
      <t xml:space="preserve"> Causa : Al cierre de 2013 no se alcanzó la meta debido al poco retiro de leche  por parte de los nuevos beneficiarios de la  Cruzada Nacional Contra el Hambre. Efecto:  Otros Motivos:</t>
    </r>
  </si>
  <si>
    <r>
      <t xml:space="preserve">Cobertura de los hogares programados
</t>
    </r>
    <r>
      <rPr>
        <sz val="10"/>
        <rFont val="Soberana Sans"/>
        <family val="2"/>
      </rPr>
      <t xml:space="preserve"> Causa : Como resultado de la implementación  de acciones en la Cruzada Nacional Contra el Hambre, el indicador supera la meta. Efecto:  Otros Motivos:</t>
    </r>
  </si>
  <si>
    <r>
      <t xml:space="preserve">Porcentaje de participación de leche fluida en la producción de Liconsa.
</t>
    </r>
    <r>
      <rPr>
        <sz val="10"/>
        <rFont val="Soberana Sans"/>
        <family val="2"/>
      </rPr>
      <t xml:space="preserve"> Causa : El porcentaje de participación de leche fluida respecto a la producción total para el PASL enero-diciembre de 2013, arrojó un cumplimento por abajo de la meta debido a las variaciones del requerimiento de abasto social. Efecto:  Otros Motivos:</t>
    </r>
  </si>
  <si>
    <r>
      <t xml:space="preserve">Litros producidos para el Programa de Abasto Social de Leche.
</t>
    </r>
    <r>
      <rPr>
        <sz val="10"/>
        <rFont val="Soberana Sans"/>
        <family val="2"/>
      </rPr>
      <t xml:space="preserve"> Causa : La producción realizada de enero-diciembre de 2013, arrojó un cumplimiento abajo del indicador estándar, debido a que disminuyó la demanda con respecto a lo esperado. Efecto:  Otros Motivos:</t>
    </r>
  </si>
  <si>
    <r>
      <t xml:space="preserve">Porcentaje de cumplimiento del contenido de ácido fólico en leche fortificada Liconsa.
</t>
    </r>
    <r>
      <rPr>
        <sz val="10"/>
        <rFont val="Soberana Sans"/>
        <family val="2"/>
      </rPr>
      <t xml:space="preserve"> Causa : En atención a la observación para 2014 se incrementará la meta de este nutriente al 100%, sin dejar de mencionar que el incremento en los niveles de este nutriente en la leche Liconsa, es altamente beneficioso para el consumidor. Efecto:  Otros Motivos:</t>
    </r>
  </si>
  <si>
    <r>
      <t xml:space="preserve">Porcentaje de cumplimiento del contenido de proteínas en la leche fortificada Liconsa respecto a lo establecido en la NOM-155-SFI-2003.
</t>
    </r>
    <r>
      <rPr>
        <sz val="10"/>
        <rFont val="Soberana Sans"/>
        <family val="2"/>
      </rPr>
      <t xml:space="preserve"> Causa : El contenido de proteínas que normalmente se obtiene de la leche es de 30 gramos por litro, mientras que la Norma Oficial Mexicana permite como válido que el contenido sea de 28.5 gramos por litro; sin embargo, los niveles de proteína de la leche que adquirió Liconsa como materia prima fueron superiores a dichas medidas, propiciando con ello que el producto final muestre porcentajes por arriba de lo establecido en la meta. Efecto:  Otros Motivos:</t>
    </r>
  </si>
  <si>
    <r>
      <t xml:space="preserve">Porcentaje de cumplimiento del contenido de hierro en leche fortificada Liconsa.
</t>
    </r>
    <r>
      <rPr>
        <sz val="10"/>
        <rFont val="Soberana Sans"/>
        <family val="2"/>
      </rPr>
      <t xml:space="preserve"> Causa : En atención a la observación para 2014 se incrementará la meta de este nutriente al 100%, sin dejar de mencionar que el incremento en los niveles de este nutriente en la leche Liconsa, es altamente beneficioso para el consumidor. Efecto:  Otros Motivos:</t>
    </r>
  </si>
  <si>
    <r>
      <t xml:space="preserve">Incremento neto del padrón de beneficiarios.
</t>
    </r>
    <r>
      <rPr>
        <sz val="10"/>
        <rFont val="Soberana Sans"/>
        <family val="2"/>
      </rPr>
      <t xml:space="preserve"> Causa : En atención a un mandato presidencial, donde una de las acciones del Gobierno Federal es apoyar a la población que habita en los cuatricientos municipios de la Cruzada Nacional Contra el Hambre, durante el ejercicio 2013 se incorporaron al padrón 776,560 beneficiarios pertenecientes a estos municipios, cifra superior a las 8,515 incorporaciones netas programadas. Efecto:  Otros Motivos:</t>
    </r>
  </si>
  <si>
    <t>S053</t>
  </si>
  <si>
    <t>Programa de Abasto Rural a cargo de Diconsa, S.A. de C.V. (DICONSA)</t>
  </si>
  <si>
    <t>VSS-Diconsa, S.A. de C.V.</t>
  </si>
  <si>
    <t>Perspectiva de Género</t>
  </si>
  <si>
    <t>12 - Oferta de productos básicos a precios competitivos</t>
  </si>
  <si>
    <t>Contribuir a la Seguridad Alimentaria facilitando el acceso físico y económico a productos alimenticios de la población que habita en localidades rurales marginadas</t>
  </si>
  <si>
    <r>
      <t>Porcentaje de población de localidades rurales de alta y muy alta marginación con acceso a la alimentación</t>
    </r>
    <r>
      <rPr>
        <i/>
        <sz val="10"/>
        <color indexed="30"/>
        <rFont val="Soberana Sans"/>
        <family val="3"/>
      </rPr>
      <t xml:space="preserve">
</t>
    </r>
  </si>
  <si>
    <t>((Total de personas encuestadas que tienen acceso a la alimentación y que habitan en localidades rurales de alta y muy alta marginación atendidas por el PAR /  Total de personas encuestas que habitan en localidades rurales de alta y muy lata marginación atendidas por el PAR)*100)</t>
  </si>
  <si>
    <t>Estratégico-Eficiencia-Bianual</t>
  </si>
  <si>
    <t>Localidades rurales de alta y muy alta marginación, son abastecidas de productos básicos y complementarios económicos y de calidad en forma eficaz y oportuna.</t>
  </si>
  <si>
    <r>
      <t>Porcentaje de cobertura del Programa en localidades objetivo.</t>
    </r>
    <r>
      <rPr>
        <i/>
        <sz val="10"/>
        <color indexed="30"/>
        <rFont val="Soberana Sans"/>
        <family val="3"/>
      </rPr>
      <t xml:space="preserve">
</t>
    </r>
  </si>
  <si>
    <t>(Localidades objetivo con tienda Diconsa / Total de localidades objetivo) x 100</t>
  </si>
  <si>
    <t>Estratégico-Eficacia-Anual</t>
  </si>
  <si>
    <r>
      <t>Porcentaje de mejora en el acceso físico al abasto de los productos de la canasta básica Diconsa en las localidades a partir de la instalación de la tienda Diconsa</t>
    </r>
    <r>
      <rPr>
        <i/>
        <sz val="10"/>
        <color indexed="30"/>
        <rFont val="Soberana Sans"/>
        <family val="3"/>
      </rPr>
      <t xml:space="preserve">
</t>
    </r>
  </si>
  <si>
    <t>((Porcentaje  de productos de la canasta básica Diconsa que se encuentran disponibles en la tienda Diconsa / porcentaje de productos de la canasta básica Diconsa que se disponen en la localidad antes de la instalación de la tienda) - 1) x 100</t>
  </si>
  <si>
    <r>
      <t>Margen de ahorro en la canasta básica Diconsa</t>
    </r>
    <r>
      <rPr>
        <i/>
        <sz val="10"/>
        <color indexed="30"/>
        <rFont val="Soberana Sans"/>
        <family val="3"/>
      </rPr>
      <t xml:space="preserve">
Indicador Seleccionado</t>
    </r>
  </si>
  <si>
    <t>((Precio promedio de la canasta básica en el mercado local / Precio promedio de la canasta básica en tiendas Diconsa )-1) x 100</t>
  </si>
  <si>
    <t>Estratégico-Eficacia-Semestral</t>
  </si>
  <si>
    <t>A Tiendas abastecidas con productos básicos y complementarios económicos y de calidad</t>
  </si>
  <si>
    <r>
      <t>Número de Localidades con tienda Diconsa</t>
    </r>
    <r>
      <rPr>
        <i/>
        <sz val="10"/>
        <color indexed="30"/>
        <rFont val="Soberana Sans"/>
        <family val="3"/>
      </rPr>
      <t xml:space="preserve">
Indicador Seleccionado</t>
    </r>
  </si>
  <si>
    <t>Número de localidades con tienda</t>
  </si>
  <si>
    <t>Localidad</t>
  </si>
  <si>
    <r>
      <t xml:space="preserve">Porcentaje de compras de productos enriquecidos  </t>
    </r>
    <r>
      <rPr>
        <i/>
        <sz val="10"/>
        <color indexed="30"/>
        <rFont val="Soberana Sans"/>
        <family val="3"/>
      </rPr>
      <t xml:space="preserve">
</t>
    </r>
  </si>
  <si>
    <t xml:space="preserve">(Importe de las compras de productos enriquecidos / Importe total de compras de abarrotes comestibles) x 100  </t>
  </si>
  <si>
    <t>Estratégico-Calidad-Trimestral</t>
  </si>
  <si>
    <r>
      <t>Monto de ahorro generado</t>
    </r>
    <r>
      <rPr>
        <i/>
        <sz val="10"/>
        <color indexed="30"/>
        <rFont val="Soberana Sans"/>
        <family val="3"/>
      </rPr>
      <t xml:space="preserve">
</t>
    </r>
  </si>
  <si>
    <t>Monto total de la venta de los productos de la canasta básica Diconsa x el margen de ahorro en la canasta básica Diconsa</t>
  </si>
  <si>
    <t>Estratégico-Eficiencia-Semestral</t>
  </si>
  <si>
    <t>B Tiendas abastecidas y operadas de forma eficaz y oportuna</t>
  </si>
  <si>
    <r>
      <t>Porcentaje del surtimiento oportuno a tiendas por parte de los almacenes rurales</t>
    </r>
    <r>
      <rPr>
        <i/>
        <sz val="10"/>
        <color indexed="30"/>
        <rFont val="Soberana Sans"/>
        <family val="3"/>
      </rPr>
      <t xml:space="preserve">
</t>
    </r>
  </si>
  <si>
    <t>(Número de surtimientos a tiendas realizados en su día / Número de pedidos realizados por las tiendas) x 100</t>
  </si>
  <si>
    <t>C Tiendas establecidas en localidades con problemas de abasto</t>
  </si>
  <si>
    <r>
      <t>Número de Localidades con tienda Diconsa</t>
    </r>
    <r>
      <rPr>
        <i/>
        <sz val="10"/>
        <color indexed="30"/>
        <rFont val="Soberana Sans"/>
        <family val="3"/>
      </rPr>
      <t xml:space="preserve">
</t>
    </r>
  </si>
  <si>
    <r>
      <t>Número de localidades objetivo con tienda Diconsa</t>
    </r>
    <r>
      <rPr>
        <i/>
        <sz val="10"/>
        <color indexed="30"/>
        <rFont val="Soberana Sans"/>
        <family val="3"/>
      </rPr>
      <t xml:space="preserve">
</t>
    </r>
  </si>
  <si>
    <t>Número de localidades objetivo atendidas con al menos una tienda Diconsa</t>
  </si>
  <si>
    <t>A 1 Difusión y promoción del Programa para la apertura de tiendas</t>
  </si>
  <si>
    <r>
      <t>Porcentaje de tiendas abiertas respecto a las solicitadas en localidades objetivo</t>
    </r>
    <r>
      <rPr>
        <i/>
        <sz val="10"/>
        <color indexed="30"/>
        <rFont val="Soberana Sans"/>
        <family val="3"/>
      </rPr>
      <t xml:space="preserve">
</t>
    </r>
  </si>
  <si>
    <t>(Número de tiendas abiertas en localidades objetivo / Número total de solicitudes de tiendas en localidades objetivo) x 100</t>
  </si>
  <si>
    <t>A 2 Adquisición de bienes para comercializar</t>
  </si>
  <si>
    <r>
      <t>Porcentaje de cumplimiento en las compras programadas</t>
    </r>
    <r>
      <rPr>
        <i/>
        <sz val="10"/>
        <color indexed="30"/>
        <rFont val="Soberana Sans"/>
        <family val="3"/>
      </rPr>
      <t xml:space="preserve">
</t>
    </r>
  </si>
  <si>
    <t>(Compras realizadas / Compras programadas) x 100</t>
  </si>
  <si>
    <t>A 3 Distribución de los productos</t>
  </si>
  <si>
    <r>
      <t>Promedio de costo de distribución por tienda</t>
    </r>
    <r>
      <rPr>
        <i/>
        <sz val="10"/>
        <color indexed="30"/>
        <rFont val="Soberana Sans"/>
        <family val="3"/>
      </rPr>
      <t xml:space="preserve">
</t>
    </r>
  </si>
  <si>
    <t>Gastos de distribución / Número total de tiendas</t>
  </si>
  <si>
    <r>
      <t>Porcentaje de eficacia en el surtimiento de las tiendas por el almacén rural</t>
    </r>
    <r>
      <rPr>
        <i/>
        <sz val="10"/>
        <color indexed="30"/>
        <rFont val="Soberana Sans"/>
        <family val="3"/>
      </rPr>
      <t xml:space="preserve">
</t>
    </r>
  </si>
  <si>
    <t>(Volumen surtido por los alamcenes rurales a las tiendas / Volumen solicitado por las tiendas a los almacenes rurales) X 100</t>
  </si>
  <si>
    <t>A 4 Venta de productos</t>
  </si>
  <si>
    <r>
      <t xml:space="preserve">Promedio de venta por tienda </t>
    </r>
    <r>
      <rPr>
        <i/>
        <sz val="10"/>
        <color indexed="30"/>
        <rFont val="Soberana Sans"/>
        <family val="3"/>
      </rPr>
      <t xml:space="preserve">
</t>
    </r>
  </si>
  <si>
    <t>Ventas totales a tiendas/ Número de tiendas</t>
  </si>
  <si>
    <t>A 5 Supervisión de la operación de la tienda</t>
  </si>
  <si>
    <r>
      <t xml:space="preserve">Porcentaje de  tiendas supervisadas </t>
    </r>
    <r>
      <rPr>
        <i/>
        <sz val="10"/>
        <color indexed="30"/>
        <rFont val="Soberana Sans"/>
        <family val="3"/>
      </rPr>
      <t xml:space="preserve">
</t>
    </r>
  </si>
  <si>
    <t>(Número de tiendas supervisadas / Número total de tiendas) x 100</t>
  </si>
  <si>
    <t>A 6 Oferta de servicios adicionales al abasto</t>
  </si>
  <si>
    <r>
      <t>Porcentaje de tiendas que funcionan como Unidades de Servicio a la Comunidad</t>
    </r>
    <r>
      <rPr>
        <i/>
        <sz val="10"/>
        <color indexed="30"/>
        <rFont val="Soberana Sans"/>
        <family val="3"/>
      </rPr>
      <t xml:space="preserve">
</t>
    </r>
  </si>
  <si>
    <t>(Número de tiendas que ofrecen tres o más servicios adicionales al abasto / Número total de tiendas) x 100</t>
  </si>
  <si>
    <t>A 7 Promoción de la participación comunitaria</t>
  </si>
  <si>
    <r>
      <t>Porcentaje de tienda a cargo de mujeres</t>
    </r>
    <r>
      <rPr>
        <i/>
        <sz val="10"/>
        <color indexed="30"/>
        <rFont val="Soberana Sans"/>
        <family val="3"/>
      </rPr>
      <t xml:space="preserve">
</t>
    </r>
  </si>
  <si>
    <t>(Número de encargados de tienda mujeres / Número total de encargados) x 100</t>
  </si>
  <si>
    <r>
      <t>Porcentaje de tiendas con promoción de la participación comunitaria</t>
    </r>
    <r>
      <rPr>
        <i/>
        <sz val="10"/>
        <color indexed="30"/>
        <rFont val="Soberana Sans"/>
        <family val="3"/>
      </rPr>
      <t xml:space="preserve">
</t>
    </r>
  </si>
  <si>
    <t>(Número de tiendas donde se promovió la asamblea comunitaria correspondientes al trimestre/ Número total de tiendas ) x 100</t>
  </si>
  <si>
    <t>A 8 Capacitación de la Red Social</t>
  </si>
  <si>
    <r>
      <t>Porcentaje de cumplimiento en la capacitación de los miembros de la red social</t>
    </r>
    <r>
      <rPr>
        <i/>
        <sz val="10"/>
        <color indexed="30"/>
        <rFont val="Soberana Sans"/>
        <family val="3"/>
      </rPr>
      <t xml:space="preserve">
</t>
    </r>
  </si>
  <si>
    <t>(Número de miembros de los Comités Rurales de Abasto, Consejos Comunitarios de Abasto y encargados de tienda que recibieron algún tipo de capacitación / Número total de miembros de la red social ) x 100</t>
  </si>
  <si>
    <r>
      <t xml:space="preserve">Porcentaje de cobertura del Programa en localidades objetivo.
</t>
    </r>
    <r>
      <rPr>
        <sz val="10"/>
        <rFont val="Soberana Sans"/>
        <family val="2"/>
      </rPr>
      <t xml:space="preserve"> Causa : Los habitantes de las localidades de alta y muy alta marginación con problemas de abasto local suficiente y adecuado, solicitaron su incorporación al Programa mediante la instalación de una tienda Diconsa o las localidades que tenían una tienda Diconsa la mantuvieron en funcionamiento. Efecto:  Otros Motivos:</t>
    </r>
  </si>
  <si>
    <r>
      <t xml:space="preserve">Porcentaje de mejora en el acceso físico al abasto de los productos de la canasta básica Diconsa en las localidades a partir de la instalación de la tienda Diconsa
</t>
    </r>
    <r>
      <rPr>
        <sz val="10"/>
        <rFont val="Soberana Sans"/>
        <family val="2"/>
      </rPr>
      <t xml:space="preserve"> Causa : La meta 2013 del indicador se proyectó con base al resultado obtenido al cierre de 2012. En ese año, es decir en 2012, se obtuvo la información de uno de los componentes del indicador (productos de la canasta básica que había en la localidad antes de la apertura de la tienda Diconsa), a partir de  un ítem (pregunta) de percepción  en  la población beneficiaria atendida, de tal forma que los resultados de 2012 fueron prácticamente a partir de la percepción de los beneficiarios. Para el cálculo del indicador en 2013, ya no se utilizó el ítem (pregunta) de percepción, sino que se verificó físicamente la existencia de los productos de la canasta básica antes de la apertura de la tienda en las localidades que solicitaron la apertura de una tienda Diconsa.  La verificación física de la existencia de los productos de la canasta básica, dio como resultado que todas las localidades que solicitaron la apertura de una Tienda Diconsa en 2013, tuvieran un  problema de desabasto menor al que se había estimado, por tal motivo el resultado del indicador, contra la meta, tuvo una diferencia absoluta y relativa menor. Efecto:  Otros Motivos:</t>
    </r>
  </si>
  <si>
    <r>
      <t xml:space="preserve">Margen de ahorro en la canasta básica Diconsa
</t>
    </r>
    <r>
      <rPr>
        <sz val="10"/>
        <rFont val="Soberana Sans"/>
        <family val="2"/>
      </rPr>
      <t xml:space="preserve"> Causa : La comercialización de productos marca propia SEDESOL-DICONSA generó ahorros sustanciales, dado que tienen precios menores a los mismos productos de diferente marca ofrecidos en las tiendas privadas. Esto se debe a que en los últimos años se ha presentado una elevada volatilidad en los precios de alimentos básicos, principalmente en leche, trigo, maíz, azúcar, frijol productos que están contenidos en la Canasta Básica Diconsa, lo cual se ha reflejado en la generación de un margen de ahorro mayor al esperado.      La diferencia entre los componentes del indicador (numerador y denominador), respecto del avance alcanzado contra la meta aprobada o modificada, se debe a que son variables que se obtiene de información de los precios promedio anual encontrados tanto en las tiendas privadas como en las tiendas Diconsa y que responde a la dinámica económica subyacente en las localidades donde se levanta la información. Asimismo, se hace la mención que los dos componentes del indicador son variables estimadas mediante una metodología y que el proceso de obtención de la información es mediante una encuesta representativa de las tiendas Diconsa a nivel nacional. Los componentes del indicador son precios (variables) de una canasta básica equiparable tanta en la tienda Diconsa como en la tienda privada y que por lo tanto no son una constante.    Efecto:  Otros Motivos:</t>
    </r>
  </si>
  <si>
    <r>
      <t xml:space="preserve">Número de Localidades con tienda Diconsa
</t>
    </r>
    <r>
      <rPr>
        <sz val="10"/>
        <rFont val="Soberana Sans"/>
        <family val="2"/>
      </rPr>
      <t xml:space="preserve"> Causa : Los habitantes de las localidades con problemas de abasto local suficiente y adecuado, solicitaron su incorporación al Programa mediante la instalación de una tienda Diconsa o las localidades que tenían una tienda Diconsa la mantuvieron en funcionamiento. Efecto:  Otros Motivos:</t>
    </r>
  </si>
  <si>
    <r>
      <t xml:space="preserve">Porcentaje de compras de productos enriquecidos  
</t>
    </r>
    <r>
      <rPr>
        <sz val="10"/>
        <rFont val="Soberana Sans"/>
        <family val="2"/>
      </rPr>
      <t xml:space="preserve"> Causa : No se alcanzó la meta debido a que el presupuesto para el ejercicio 2013 fue liberado en enero de este año, lo que repercutió en el retraso y liberación de los pedidos hacia las sucursales y unidades operativas, para realizar sus compras, y que tiene su efecto en el dato acumulado.   Efecto:  Otros Motivos:</t>
    </r>
  </si>
  <si>
    <r>
      <t xml:space="preserve">Monto de ahorro generado
</t>
    </r>
    <r>
      <rPr>
        <sz val="10"/>
        <rFont val="Soberana Sans"/>
        <family val="2"/>
      </rPr>
      <t xml:space="preserve"> Causa : Derivado de un incremento del margen de ahorro a partir de un mayor desplazamiento y venta de los productos que conforman la canasta básica Diconsa, generó que el monto de ahorro superara lo prevista para el cierre de 2013. Esto se explica en parte  por la Implementación de la Cruzada Nacional contra el Hambre y estrategias de venta de Diconsa para llegar al mayor número de beneficiarios. Efecto:  Otros Motivos:</t>
    </r>
  </si>
  <si>
    <r>
      <t xml:space="preserve">Porcentaje del surtimiento oportuno a tiendas por parte de los almacenes rurales
</t>
    </r>
    <r>
      <rPr>
        <sz val="10"/>
        <rFont val="Soberana Sans"/>
        <family val="2"/>
      </rPr>
      <t xml:space="preserve"> Causa : Debido a que se hizo un ajuste de las rutas de abastecimiento y distribución se tuvo un surtimiento oportuno a las tiendas en el día programado. Asimismo el levantamiento de pedidos mediante dispositivos electrónicos, permitió una mejor programación de la entrega de pedidos. Efecto:  Otros Motivos:</t>
    </r>
  </si>
  <si>
    <r>
      <t xml:space="preserve">Número de Localidades con tienda Diconsa
</t>
    </r>
    <r>
      <rPr>
        <sz val="10"/>
        <rFont val="Soberana Sans"/>
        <family val="2"/>
      </rPr>
      <t xml:space="preserve"> Causa : Los habitantes de las localidades con problemas de abasto local suficiente y adecuado , solicitaron su incorporación al Programa mediante la instalación de una tienda Diconsa o las localidades que tenían una tienda Diconsa la mantuvieron en funcionamiento. Efecto:  Otros Motivos:</t>
    </r>
  </si>
  <si>
    <r>
      <t xml:space="preserve">Número de localidades objetivo con tienda Diconsa
</t>
    </r>
    <r>
      <rPr>
        <sz val="10"/>
        <rFont val="Soberana Sans"/>
        <family val="2"/>
      </rPr>
      <t xml:space="preserve"> Causa : Los habitantes de las localidades de alta y muy alta marginación con problemas de abasto local suficiente y adecuado, solicitaron su incorporación al Programa mediante la instalación de una tienda Diconsa o las localidades que tenían una tienda Diconsa la mantuvieron en funcionamiento. Efecto:  Otros Motivos:</t>
    </r>
  </si>
  <si>
    <r>
      <t xml:space="preserve">Porcentaje de tiendas abiertas respecto a las solicitadas en localidades objetivo
</t>
    </r>
    <r>
      <rPr>
        <sz val="10"/>
        <rFont val="Soberana Sans"/>
        <family val="2"/>
      </rPr>
      <t xml:space="preserve"> Causa : Se cumplió la meta establecida. Efecto:  Otros Motivos:</t>
    </r>
  </si>
  <si>
    <r>
      <t xml:space="preserve">Porcentaje de cumplimiento en las compras programadas
</t>
    </r>
    <r>
      <rPr>
        <sz val="10"/>
        <rFont val="Soberana Sans"/>
        <family val="2"/>
      </rPr>
      <t xml:space="preserve"> Causa : No se alcanzó la meta debido a que el presupuesto para el ejercicio 2013 fue liberado en enero de este año, lo que repercutió en el retraso y liberación de los pedidos hacia las unidades operativas, para realizar sus compras, y que tiene su efecto en el dato acumulado.   Efecto:  Otros Motivos:</t>
    </r>
  </si>
  <si>
    <r>
      <t xml:space="preserve">Promedio de costo de distribución por tienda
</t>
    </r>
    <r>
      <rPr>
        <sz val="10"/>
        <rFont val="Soberana Sans"/>
        <family val="2"/>
      </rPr>
      <t xml:space="preserve"> Causa : Debido a que se hizo un ajuste de las rutas de abastecimiento y distribución, permitió ahorros en gasto de combustibles y mantenimiento. Asimismo, la adquisición de flota vehicular nueva para el abasto y la distribución entre los almacenes y las tiendas generaron ahorros en mantenimiento.    Efecto:  Otros Motivos:</t>
    </r>
  </si>
  <si>
    <r>
      <t xml:space="preserve">Porcentaje de eficacia en el surtimiento de las tiendas por el almacén rural
</t>
    </r>
    <r>
      <rPr>
        <sz val="10"/>
        <rFont val="Soberana Sans"/>
        <family val="2"/>
      </rPr>
      <t xml:space="preserve"> Causa : La falta de inventario y las condiciones orográficas, climáticas y de otra índole (seguridad) pudieron generar retrasos o incumplimientos en el surtido a tiendas. Efecto:  Otros Motivos:</t>
    </r>
  </si>
  <si>
    <r>
      <t xml:space="preserve">Promedio de venta por tienda 
</t>
    </r>
    <r>
      <rPr>
        <sz val="10"/>
        <rFont val="Soberana Sans"/>
        <family val="2"/>
      </rPr>
      <t xml:space="preserve"> Causa : El incremento en el número de tiendas al final del periodo afecto el promedio, debido a que muchas de esas tiendas no registraron ventas más que en los últimos meses del periodo fiscal. Efecto:  Otros Motivos:</t>
    </r>
  </si>
  <si>
    <r>
      <t xml:space="preserve">Porcentaje de  tiendas supervisadas 
</t>
    </r>
    <r>
      <rPr>
        <sz val="10"/>
        <rFont val="Soberana Sans"/>
        <family val="2"/>
      </rPr>
      <t xml:space="preserve"> Causa : Se realizó más de una supervisión en algunas tiendas. Efecto:  Otros Motivos:</t>
    </r>
  </si>
  <si>
    <r>
      <t xml:space="preserve">Porcentaje de tiendas que funcionan como Unidades de Servicio a la Comunidad
</t>
    </r>
    <r>
      <rPr>
        <sz val="10"/>
        <rFont val="Soberana Sans"/>
        <family val="2"/>
      </rPr>
      <t xml:space="preserve"> Causa : No existieron las condiciones de infraestructura necesaria para que las tiendas Diconsa funcionaran como unidades de servicio a la comunidad. Efecto:  Otros Motivos:</t>
    </r>
  </si>
  <si>
    <r>
      <t xml:space="preserve">Porcentaje de tienda a cargo de mujeres
</t>
    </r>
    <r>
      <rPr>
        <sz val="10"/>
        <rFont val="Soberana Sans"/>
        <family val="2"/>
      </rPr>
      <t xml:space="preserve"> Causa : Se tuvo disposición de las mujeres para ser encargadas de tienda Diconsa. Efecto:  Otros Motivos:</t>
    </r>
  </si>
  <si>
    <r>
      <t xml:space="preserve">Porcentaje de tiendas con promoción de la participación comunitaria
</t>
    </r>
    <r>
      <rPr>
        <sz val="10"/>
        <rFont val="Soberana Sans"/>
        <family val="2"/>
      </rPr>
      <t xml:space="preserve"> Causa : A partir de la implementación de la Cruzada Nacional contra el Hambre (CNCH), se realizó más de una promoción en las Tiendas Diconsa, referente a dar a conocer la CNCH, sobre todo en las entidades Federativas de Guerrero, Oaxaca, Chiapas y el Estado de México. Efecto:  Otros Motivos:</t>
    </r>
  </si>
  <si>
    <r>
      <t xml:space="preserve">Porcentaje de cumplimiento en la capacitación de los miembros de la red social
</t>
    </r>
    <r>
      <rPr>
        <sz val="10"/>
        <rFont val="Soberana Sans"/>
        <family val="2"/>
      </rPr>
      <t xml:space="preserve"> Causa : La implementación de las acciones de la Cruzada Nacional Contra el Hambre derivo en capacitaciones y cursos adicionales a los programados. Efecto:  Otros Motivos:</t>
    </r>
  </si>
  <si>
    <t>S054</t>
  </si>
  <si>
    <t>Programa de Opciones Productivas</t>
  </si>
  <si>
    <t>210-Dirección General de Opciones Productivas</t>
  </si>
  <si>
    <t>2 - Vivienda y Servicios a la Comunidad</t>
  </si>
  <si>
    <t>7 - Desarrollo Regional</t>
  </si>
  <si>
    <t>6 - Apoyo a las inversiones sociales de los gobiernos locales, de las organizaciones sociales y de la población rural</t>
  </si>
  <si>
    <t>Contribuir a mejorar el bienestar económico de la población cuyos ingresos se encuentran por debajo de la línea de bienestar, mediante el desarrollo de proyectos productivos sostenibles.</t>
  </si>
  <si>
    <r>
      <t>Porcentaje de proyectos productivos apoyados que permanecen en operación  y que mantienen o incrementan el valor de sus activos, después de dos años de recibido el apoyo.</t>
    </r>
    <r>
      <rPr>
        <i/>
        <sz val="10"/>
        <color indexed="30"/>
        <rFont val="Soberana Sans"/>
        <family val="3"/>
      </rPr>
      <t xml:space="preserve">
</t>
    </r>
  </si>
  <si>
    <t>(Proyectos encuestados, que permanecen en operación y que mantienen o incrementan el valor de sus activos, dos años después de apoyado el proyecto/Total de proyectos productivos apoyados en el periodo de medición)*100</t>
  </si>
  <si>
    <t>Estratégico-Eficacia-Trianual</t>
  </si>
  <si>
    <t>Personas en lo individual o integradas en grupos sociales u organizaciones de productores y productoras, cuyos ingresos se encuentran por debajo de la línea de bienestar, desarrollan capacidades técnicas y productivas para generar proyectos productivos sostenibles.</t>
  </si>
  <si>
    <r>
      <t>Porcentaje de proyectos Integradores y de Fondo de Cofinanciamiento puestos en marcha que permanecen en operación después de dos años  de recibido el apoyo y manifiestan ventas</t>
    </r>
    <r>
      <rPr>
        <i/>
        <sz val="10"/>
        <color indexed="30"/>
        <rFont val="Soberana Sans"/>
        <family val="3"/>
      </rPr>
      <t xml:space="preserve">
</t>
    </r>
  </si>
  <si>
    <t>(Número de proyectos Integradores y de Fondo de cofinanciamiento puestos en marcha, que permanecen en operación después de dos años de haber sido apoyados y que manifiestan ventas / Número de proyectos Integradores y de Fondo de Cofinanciamiento apoyados en el año de recibido el subsidio) * 100.</t>
  </si>
  <si>
    <r>
      <t>Porcentaje de proyectos productivos apoyados provenientes de grupos integrados o consolidados por Agencias de Desarrollo Local, que permanecen en operación después de dos años de recibido el apoyo y manifiestan ventas</t>
    </r>
    <r>
      <rPr>
        <i/>
        <sz val="10"/>
        <color indexed="30"/>
        <rFont val="Soberana Sans"/>
        <family val="3"/>
      </rPr>
      <t xml:space="preserve">
</t>
    </r>
  </si>
  <si>
    <t>(Número de proyectos productivos apoyados provenientes de grupos integrados o consolidados por Agencias de Desarrollo Local  que permanecen en operación después de dos años de recibido el apoyo y manifiestan ventas / Número de proyectos productivos apoyados de grupos integrados o consolidados  por las Agencias de Desarrollo Local apoyadas en el ejercicio fiscal)*100.</t>
  </si>
  <si>
    <t>A Capacidades técnicas y productivas fortalecidas en personas, grupos sociales y organizaciones de productores y productoras apoyados.</t>
  </si>
  <si>
    <r>
      <t>Porcentaje de proyectos de Fondo de Cofinanciamiento con apoyo de Asistencia Técnica y Acompañamiento</t>
    </r>
    <r>
      <rPr>
        <i/>
        <sz val="10"/>
        <color indexed="30"/>
        <rFont val="Soberana Sans"/>
        <family val="3"/>
      </rPr>
      <t xml:space="preserve">
</t>
    </r>
  </si>
  <si>
    <t>(Número de proyectos de Fondo de Cofinanciamiento apoyados que tienen asignado Asistencia Técnica y Acompañamiento en el trimestre/ Número de proyectos de Fondo de Cofinanciamiento programados a apoyar en el año) * 100</t>
  </si>
  <si>
    <r>
      <t xml:space="preserve">Número de proyectos de Agencias de Desarrollo Local apoyados </t>
    </r>
    <r>
      <rPr>
        <i/>
        <sz val="10"/>
        <color indexed="30"/>
        <rFont val="Soberana Sans"/>
        <family val="3"/>
      </rPr>
      <t xml:space="preserve">
</t>
    </r>
  </si>
  <si>
    <t>Número de proyectos de intervención (planes de trabajo) de Agencias de Desarrollo Local apoyados</t>
  </si>
  <si>
    <t>Proyecto</t>
  </si>
  <si>
    <t>B Proyectos productivos viables y sustentables apoyados.</t>
  </si>
  <si>
    <r>
      <t>Número de Proyectos Integradores apoyados.</t>
    </r>
    <r>
      <rPr>
        <i/>
        <sz val="10"/>
        <color indexed="30"/>
        <rFont val="Soberana Sans"/>
        <family val="3"/>
      </rPr>
      <t xml:space="preserve">
</t>
    </r>
  </si>
  <si>
    <t xml:space="preserve">Número de proyectos integradores apoyados.   </t>
  </si>
  <si>
    <r>
      <t>Número de Proyectos de Fondo de Cofinanciamiento apoyados.</t>
    </r>
    <r>
      <rPr>
        <i/>
        <sz val="10"/>
        <color indexed="30"/>
        <rFont val="Soberana Sans"/>
        <family val="3"/>
      </rPr>
      <t xml:space="preserve">
</t>
    </r>
  </si>
  <si>
    <t xml:space="preserve">Número de proyectos de Fondo de Cofinanciamiento apoyados </t>
  </si>
  <si>
    <r>
      <t>Número de proyectos de Agencias de Desarrollo Local, Integradores y de Cofinanciamiento apoyados</t>
    </r>
    <r>
      <rPr>
        <i/>
        <sz val="10"/>
        <color indexed="30"/>
        <rFont val="Soberana Sans"/>
        <family val="3"/>
      </rPr>
      <t xml:space="preserve">
Indicador Seleccionado</t>
    </r>
  </si>
  <si>
    <t>Número de proyectos de Agencias de Desarrollo Local, Integradores y de Cofinanciamiento apoyados</t>
  </si>
  <si>
    <t>A 1 Registro y selección de propuestas y beneficiarios de proyetos productivos con base en los criterios establecidos en Reglas de Operación del Programa.</t>
  </si>
  <si>
    <r>
      <t>Porcentaje de  Agencias de Desarrollo Local publicadas en fallo</t>
    </r>
    <r>
      <rPr>
        <i/>
        <sz val="10"/>
        <color indexed="30"/>
        <rFont val="Soberana Sans"/>
        <family val="3"/>
      </rPr>
      <t xml:space="preserve">
</t>
    </r>
  </si>
  <si>
    <t>(Número total de Agencias de Desarrollo Local publicadas en fallo /Número total de  Agencias de Desarrollo Local con propuestas registradas, con documentación entregada)*100</t>
  </si>
  <si>
    <r>
      <t>Porcentaje de Mujeres apoyadas con proyectos productivos.</t>
    </r>
    <r>
      <rPr>
        <i/>
        <sz val="10"/>
        <color indexed="30"/>
        <rFont val="Soberana Sans"/>
        <family val="3"/>
      </rPr>
      <t xml:space="preserve">
</t>
    </r>
  </si>
  <si>
    <t>(Número de mujeres apoyadas con proyectos productivos /Número total de beneficiarios programados a apoyar con proyectos productivos en el año)*100</t>
  </si>
  <si>
    <r>
      <t>Porcentaje de Proyectos Integradores publicados en fallo</t>
    </r>
    <r>
      <rPr>
        <i/>
        <sz val="10"/>
        <color indexed="30"/>
        <rFont val="Soberana Sans"/>
        <family val="3"/>
      </rPr>
      <t xml:space="preserve">
</t>
    </r>
  </si>
  <si>
    <t>(Número total de Proyectos Integradores publicados en fallo /Número total de Proyectos Integradores   registrados con documentación entregada)*100</t>
  </si>
  <si>
    <r>
      <t>Porcentaje de Municipios con población predominantemente indígena apoyados con proyectos productivos.</t>
    </r>
    <r>
      <rPr>
        <i/>
        <sz val="10"/>
        <color indexed="30"/>
        <rFont val="Soberana Sans"/>
        <family val="3"/>
      </rPr>
      <t xml:space="preserve">
</t>
    </r>
  </si>
  <si>
    <t>(Número total de municipios con población predominantemente indígena apoyados con proyectos productivos / Número total de municipios catalogados como predominantemente indígenas)*100</t>
  </si>
  <si>
    <r>
      <t>Porcentaje de Proyectos de Fondo de  Cofinanciamiento publicados en fallo</t>
    </r>
    <r>
      <rPr>
        <i/>
        <sz val="10"/>
        <color indexed="30"/>
        <rFont val="Soberana Sans"/>
        <family val="3"/>
      </rPr>
      <t xml:space="preserve">
</t>
    </r>
  </si>
  <si>
    <t>(Número total de Proyectos de Fondo de Cofinanciamiento publicados en fallo /Número total de Proyectos de Fondo de Cofinanciamiento    registrados con documentación entregada)*100</t>
  </si>
  <si>
    <r>
      <t>Porcentaje de municipios considerados en la primera etapa de la Cruzada contra el Hambre apoyados con proyectos productivos</t>
    </r>
    <r>
      <rPr>
        <i/>
        <sz val="10"/>
        <color indexed="30"/>
        <rFont val="Soberana Sans"/>
        <family val="3"/>
      </rPr>
      <t xml:space="preserve">
</t>
    </r>
  </si>
  <si>
    <t xml:space="preserve">(Número de municipios de la Cruzada contra el Hambre con proyectos productivos apoyados / Número total de municipios considerados en la Cruzada contra el Hambre)*100  </t>
  </si>
  <si>
    <r>
      <t xml:space="preserve">Porcentaje de proyectos productivos apoyados que permanecen en operación  y que mantienen o incrementan el valor de sus activos, después de dos años de recibido el apoyo.
</t>
    </r>
    <r>
      <rPr>
        <sz val="10"/>
        <rFont val="Soberana Sans"/>
        <family val="2"/>
      </rPr>
      <t xml:space="preserve"> Causa : El Programa no contó con recursos suficientes para la realización de una evaluación de impacto, por lo que no se puede reportar este indicador.Tampoco se contó con un diseño autorizado para una evaluación de impacto.  Efecto: La meta anual programada no se cuantificó.  Otros Motivos:</t>
    </r>
  </si>
  <si>
    <r>
      <t xml:space="preserve">Porcentaje de proyectos Integradores y de Fondo de Cofinanciamiento puestos en marcha que permanecen en operación después de dos años  de recibido el apoyo y manifiestan ventas
</t>
    </r>
    <r>
      <rPr>
        <sz val="10"/>
        <rFont val="Soberana Sans"/>
        <family val="2"/>
      </rPr>
      <t xml:space="preserve"> Causa : El indicador se reporta con base en la verificación física de una muestra aleatoria de los proyectos de Fondo de Cofinanciamiento y Proyectos Integradores, apoyados en 2011 donde se identificó la tendencia de 54%  de proyectos  que continúan en operación después de 2 años de recibir el apoyo del Programa Opciones Productivas.    La disponibilidad de recursos presupuestales y de personal no permitió concluir la estrategia de Verificación Física Programada para 2013.     Efecto: La meta anual programada no se alcanzó.          Otros Motivos:La meta modificada es erronea ya que el denomidador a la letra dice: "Número de proyectos Integradores y de Fondo de Cofinanciamiento apoyados en el año de recibido el subsidio" , siendo que  el año de recibido el subsidio fue 2011  y en dicho año los proyectos apoyados ascendió a 3,698, por lo anterior el dato del denominador de la meta modificada debe considerarse 3,698. Y en el caso del numerador, también por error se modificó ya que debió mantenerse la cantidad de 2,588, para alcanzar una meta de 69.98. Con esos datos el porcentaje de cumplimiento de la meta, es de 77%, la cual se quedó por debajo de lo esperado. La justificación entre otras causas como se mencionó arriba, se debe a que no se concluyó la visita de verificación de la muestra establecida para este indicador.</t>
    </r>
  </si>
  <si>
    <r>
      <t xml:space="preserve">Porcentaje de proyectos productivos apoyados provenientes de grupos integrados o consolidados por Agencias de Desarrollo Local, que permanecen en operación después de dos años de recibido el apoyo y manifiestan ventas
</t>
    </r>
    <r>
      <rPr>
        <sz val="10"/>
        <rFont val="Soberana Sans"/>
        <family val="2"/>
      </rPr>
      <t xml:space="preserve"> Causa : La disponibilidad de recursos presupuestales y de personal no permitió concluir la estrategia de Verificación Física Programada para 2013.      Efecto:  La meta anual programada del Indicador no se puede reportar. Otros Motivos:</t>
    </r>
  </si>
  <si>
    <r>
      <t xml:space="preserve">Porcentaje de proyectos de Fondo de Cofinanciamiento con apoyo de Asistencia Técnica y Acompañamiento
</t>
    </r>
    <r>
      <rPr>
        <sz val="10"/>
        <rFont val="Soberana Sans"/>
        <family val="2"/>
      </rPr>
      <t xml:space="preserve"> Causa : El recurso programado para la modalidad de Proyectos Integradores y Agencias de Desarrollo Local que se incorporó a los Acuerdos Integrales para el Desarrollo Social Incluyente, se redireccionó  a la modalidad de Fondo de Cofinanciamiento lo que permitió apoyar más demanda de proyectos para esta modalidad,  lo cual tuvo como efecto positivo que 181 proyectos adicionales de Fondo de Cofinanciamiento, que representan el 80.4% más de la meta programada, cuenten con asistencia técnica y acompañamiento     Efecto:  La meta programada se superó  Otros Motivos:</t>
    </r>
  </si>
  <si>
    <r>
      <t xml:space="preserve">Número de proyectos de Agencias de Desarrollo Local apoyados 
</t>
    </r>
    <r>
      <rPr>
        <sz val="10"/>
        <rFont val="Soberana Sans"/>
        <family val="2"/>
      </rPr>
      <t xml:space="preserve"> Causa : El recurso programado para la modalidad de Agencias de Desarrollo Local,  se incorporó a los Acuerdos Integrales para el Desarrollo Social Incluyente que la SEDESOL firmó con los Gobiernos Estatales. Por lo anterior la publicación de convocatorias fue a solicitud expresa de los firmantes de dichos acuerdos y focalizadas. Al 4° Trimestre sólo San Luis Potosí solicitó publicación de Convocatoria, cuyos proyectos registrados no cumplieron con  requisitos y criterios que permitieran ser seleccionados por el Comité de Validación Central.                              Efecto: La meta programada no se logró.  Otros Motivos:</t>
    </r>
  </si>
  <si>
    <r>
      <t xml:space="preserve">Número de Proyectos Integradores apoyados.
</t>
    </r>
    <r>
      <rPr>
        <sz val="10"/>
        <rFont val="Soberana Sans"/>
        <family val="2"/>
      </rPr>
      <t xml:space="preserve"> Causa : El recurso programado para la modalidad de Proyectos Integradores, se incorporó a los Acuerdos Integrales para el Desarrollo Social Incluyente que la SEDESOL firmó con los Gobiernos Estatales. Por lo anterior la publicación de convocatorias fue a solicitud expresa de los firmantes de dichos acuerdos y focalizadas. Al 4° Trimestre sólo San Luis Potosí solicitó publicación de Convocatoria, de la que no se tuvo demanda registrada.                                 Efecto: No se logró la meta programada. Otros Motivos:</t>
    </r>
  </si>
  <si>
    <r>
      <t xml:space="preserve">Número de Proyectos de Fondo de Cofinanciamiento apoyados.
</t>
    </r>
    <r>
      <rPr>
        <sz val="10"/>
        <rFont val="Soberana Sans"/>
        <family val="2"/>
      </rPr>
      <t xml:space="preserve"> Causa : El recurso programado para la modalidad de Proyectos Integradores y Agencias de Desarrollo Local que se incorporó a los Acuerdos Integrales para el Desarrollo Social Incluyente, se redireccionó  a la modalidad de Fondo de Cofinanciamiento. El costo Promedio de los Proyectos Integradores y de Agencias de Desarrollo Local es mayor al costo promedio de los proyectos de la modalidad de Fondo de Cofinanciamiento por lo que al redireccionar el recurso de dichas modalidades se logró apoyar  832 proyectos adicionales, lo que representa el 45.48% más de la meta programada.     Efecto: La  meta programada se superó Otros Motivos:</t>
    </r>
  </si>
  <si>
    <r>
      <t xml:space="preserve">Número de proyectos de Agencias de Desarrollo Local, Integradores y de Cofinanciamiento apoyados
</t>
    </r>
    <r>
      <rPr>
        <sz val="10"/>
        <rFont val="Soberana Sans"/>
        <family val="2"/>
      </rPr>
      <t xml:space="preserve"> Causa : El recurso programado para la modalidad de Proyectos Integradores y Agencias de Desarrollo Local que se incorporó a los Acuerdos Integrales para el Desarrollo Social Incluyente, se redireccionó  a la modalidad de Fondo de Cofinanciamiento lo que permitió apoyar más demanda de proyectos para esta modalidad.    Efecto: La meta programada se superó Otros Motivos:</t>
    </r>
  </si>
  <si>
    <r>
      <t xml:space="preserve">Porcentaje de  Agencias de Desarrollo Local publicadas en fallo
</t>
    </r>
    <r>
      <rPr>
        <sz val="10"/>
        <rFont val="Soberana Sans"/>
        <family val="2"/>
      </rPr>
      <t xml:space="preserve"> Causa : El recurso programado para la modalidad de Agencias de Desarrollo Local,  se incorporó a los Acuerdos Integrales para el Desarrollo Social Incluyente que la SEDESOL firmó con los Gobiernos Estatales. Por lo anterior la publicación de convocatorias fue a solicitud expresa de los firmantes de dichos acuerdos y focalizadas. Al 4° Trimestre sólo San Luis Potosí solicitó publicación de Convocatoria, cuyos proyectos registrados no cumplieron con  requisitos y criterios que permitieran ser seleccionados por el Comité de Validación Central.                               Efecto: La meta programada no se logró.        Otros Motivos:</t>
    </r>
  </si>
  <si>
    <r>
      <t xml:space="preserve">Porcentaje de Mujeres apoyadas con proyectos productivos.
</t>
    </r>
    <r>
      <rPr>
        <sz val="10"/>
        <rFont val="Soberana Sans"/>
        <family val="2"/>
      </rPr>
      <t xml:space="preserve"> Causa : El recurso programado para la modalidad de Proyectos Integradores y Agencias de Desarrollo Local que se incorporó a los Acuerdos Integrales para el Desarrollo Social Incluyente, se redireccionó  a la modalidad de Fondo de Cofinanciamiento lo que permitió apoyar más demanda de proyectos para esta modalidad,  lo cual tuvo como efecto positivo que 2,681 mujeres (56.37%) más de la meta programada, fueran apoyadas con proyectos productivos.      Efecto: La meta programada se superó. Otros Motivos:</t>
    </r>
  </si>
  <si>
    <r>
      <t xml:space="preserve">Porcentaje de Proyectos Integradores publicados en fallo
</t>
    </r>
    <r>
      <rPr>
        <sz val="10"/>
        <rFont val="Soberana Sans"/>
        <family val="2"/>
      </rPr>
      <t xml:space="preserve"> Causa : El recurso programado para la modalidad de Proyectos Integradores, se incorporó a los Acuerdos Integrales para el Desarrollo Social Incluyente que la SEDESOL firmó con los Gobiernos Estatales. Por lo anterior la publicación de convocatorias fue a solicitud expresa de los firmantes de dichos acuerdos y focalizadas. Al 4° Trimestre solo San Luis Potosí solicitó publicación de Convocatoria, de la que no se tuvo demanda registrada                               Efecto: La meta no se logró en el periodo. Otros Motivos:</t>
    </r>
  </si>
  <si>
    <r>
      <t xml:space="preserve">Porcentaje de Municipios con población predominantemente indígena apoyados con proyectos productivos.
</t>
    </r>
    <r>
      <rPr>
        <sz val="10"/>
        <rFont val="Soberana Sans"/>
        <family val="2"/>
      </rPr>
      <t xml:space="preserve"> Causa : El recurso programado para la modalidad de Proyectos Integradores y Agencias de Desarrollo Local que se incorporó a los Acuerdos Integrales para el Desarrollo Social Incluyente, se redireccionó  a la modalidad de Fondo de Cofinanciamiento lo que permitió apoyar más demanda de proyectos para esta modalidad,  lo cual tuvo como efecto positivo que103 municipios con población predominantemente indígenas, que significan el  47.68% más de la meta programada, fueran apoyados con proyectos productivos.       Efecto:  La meta se superó Otros Motivos: El Programa opera por demanda y se oriento su focalización a través de las convocatorias; por lo que se apoyaron proyectos productivos viables financiera y técnicamente presentados en dichos municipios .      </t>
    </r>
  </si>
  <si>
    <r>
      <t xml:space="preserve">Porcentaje de Proyectos de Fondo de  Cofinanciamiento publicados en fallo
</t>
    </r>
    <r>
      <rPr>
        <sz val="10"/>
        <rFont val="Soberana Sans"/>
        <family val="2"/>
      </rPr>
      <t xml:space="preserve"> Causa : El Programa opera por demanda y el número de proyectos publicados en fallo  fue superior a lo programado, debido a la demanda de proyectos con menor monto al promedio con el que se calculó el indicador.     Efecto: Se superó la meta programada     Otros Motivos:Se focalizarón las convocatorias por entidad Federativa y se contó con los recursos redireccionados de las modalidades de ADL y PI.</t>
    </r>
  </si>
  <si>
    <r>
      <t xml:space="preserve">Porcentaje de municipios considerados en la primera etapa de la Cruzada contra el Hambre apoyados con proyectos productivos
</t>
    </r>
    <r>
      <rPr>
        <sz val="10"/>
        <rFont val="Soberana Sans"/>
        <family val="2"/>
      </rPr>
      <t xml:space="preserve"> Causa : El recurso programado para la modalidad de Proyectos Integradores y Agencias de Desarrollo Local que se incorporó a los Acuerdos Integrales para el Desarrollo Social Incluyente, se redireccionó  a la modalidad de Fondo de Cofinanciamiento lo que permitió apoyar más demanda de proyectos para esta modalidad,  lo cual tuvo como efecto positivo que111 municipios de la Cruzada contra el Hambre, que significan el  69.37% más de la meta programada, fueran apoyados con proyectos productivos.      Efecto: La meta programada en el trimestre se superó.      Otros Motivos:Durante el ejercicio 2013 se ajusto a 405 el número de Municipios en la Cruzada Nacional contra el Hambre, por lo que el avance real del indicador es de 67%</t>
    </r>
  </si>
  <si>
    <t>S057</t>
  </si>
  <si>
    <t>Programas del Fondo Nacional de Fomento a las Artesanías (FONART)</t>
  </si>
  <si>
    <t>VZG-Fondo Nacional para el Fomento de las Artesanías</t>
  </si>
  <si>
    <t>13 - Apoyo a artesanos tradicionales, desempleados y jornaleros agrícolas en pobreza</t>
  </si>
  <si>
    <t xml:space="preserve">Contribuir a la generación de alternativas de ingreso de los artesanos cuyo ingreso es inferior a la línea de bienestar, mediante  el desarrollo de proyectos artesanales sostenibles </t>
  </si>
  <si>
    <r>
      <t>Porcentaje de proyectos artesanales apoyados, que permanecen en operación después de dos años de recibido el apoyo.</t>
    </r>
    <r>
      <rPr>
        <i/>
        <sz val="10"/>
        <color indexed="30"/>
        <rFont val="Soberana Sans"/>
        <family val="3"/>
      </rPr>
      <t xml:space="preserve">
</t>
    </r>
  </si>
  <si>
    <t>(Número de proyectos artesanales seleccionados que permanecen en operación después de dos años de recibido el apoyo/ Número total de proyectos artesanales seleccionados  por el FONART en el año de referencia)*100</t>
  </si>
  <si>
    <t>Estratégico-Eficacia-Bianual</t>
  </si>
  <si>
    <t>Artesanos cuyo ingreso es inferior a la línea de bienestar, mejoran sus condiciones técnicas y financieras para la producción.</t>
  </si>
  <si>
    <r>
      <t>Porcentaje de artesanos beneficiados por apoyos a la comercialización que ampliaron mercado.</t>
    </r>
    <r>
      <rPr>
        <i/>
        <sz val="10"/>
        <color indexed="30"/>
        <rFont val="Soberana Sans"/>
        <family val="3"/>
      </rPr>
      <t xml:space="preserve">
</t>
    </r>
  </si>
  <si>
    <t>(Número de artesanos beneficiados por apoyos a la comercialización que ampliaron mercado después de un año / Número artesanos beneficiados por apoyos a la comercialización en el año de referencia) * 100</t>
  </si>
  <si>
    <r>
      <t>Porcentaje de artesanos que mejoraron la calidad de su producción después de participar en los concursos de arte popular</t>
    </r>
    <r>
      <rPr>
        <i/>
        <sz val="10"/>
        <color indexed="30"/>
        <rFont val="Soberana Sans"/>
        <family val="3"/>
      </rPr>
      <t xml:space="preserve">
</t>
    </r>
  </si>
  <si>
    <t>(Número de artesanos que mejoraron la calidad de su producción después un año de haber participado en los concursos de arte popular / Número de artesanos concursantes en el año de referencia) * 100</t>
  </si>
  <si>
    <r>
      <t>Porcentaje de artesanos capacitados que aplican en su producción las técnicas enseñadas</t>
    </r>
    <r>
      <rPr>
        <i/>
        <sz val="10"/>
        <color indexed="30"/>
        <rFont val="Soberana Sans"/>
        <family val="3"/>
      </rPr>
      <t xml:space="preserve">
</t>
    </r>
  </si>
  <si>
    <t>(Número de artesanos que producen con las técnicas enseñadas en la capacitación después de un año/ Número de artesanos capacitados en el año de referencia) * 100</t>
  </si>
  <si>
    <r>
      <t>Porcentaje de artesanos beneficiados con apoyos a la producción que incrementaron su producción.</t>
    </r>
    <r>
      <rPr>
        <i/>
        <sz val="10"/>
        <color indexed="30"/>
        <rFont val="Soberana Sans"/>
        <family val="3"/>
      </rPr>
      <t xml:space="preserve">
</t>
    </r>
  </si>
  <si>
    <t>(Número de artesanos beneficiarios con apoyos a la producción que incrementaron su producción después de un año / Número de artesanos beneficiarios con apoyos a la producción en el año de referencia) * 100</t>
  </si>
  <si>
    <r>
      <t>Porcentaje de recursos ejercidos por apoyos a la comercialización</t>
    </r>
    <r>
      <rPr>
        <i/>
        <sz val="10"/>
        <color indexed="30"/>
        <rFont val="Soberana Sans"/>
        <family val="3"/>
      </rPr>
      <t xml:space="preserve">
</t>
    </r>
  </si>
  <si>
    <t>(Monto de recursos ejercidos por apoyos a la comercialización / Monto de recursos programados para apoyos a la comercialización) * 100</t>
  </si>
  <si>
    <t>Estratégico-Economía-Trimestral</t>
  </si>
  <si>
    <t>A Apoyos otorgados a artesanos con ingresos inferiores a la línea de bienestar con la adquisición de sus artesanías.</t>
  </si>
  <si>
    <r>
      <t>Artesanos beneficiados por adquisición de artesanías.</t>
    </r>
    <r>
      <rPr>
        <i/>
        <sz val="10"/>
        <color indexed="30"/>
        <rFont val="Soberana Sans"/>
        <family val="3"/>
      </rPr>
      <t xml:space="preserve">
</t>
    </r>
  </si>
  <si>
    <t>Número de artesanos beneficiados por la adquisición de artesanías.</t>
  </si>
  <si>
    <t>Artesano</t>
  </si>
  <si>
    <t>B Premios otorgados a artesanos participantes en concursos de arte popular</t>
  </si>
  <si>
    <r>
      <t>Artesanos premiados en concursos de arte popular.</t>
    </r>
    <r>
      <rPr>
        <i/>
        <sz val="10"/>
        <color indexed="30"/>
        <rFont val="Soberana Sans"/>
        <family val="3"/>
      </rPr>
      <t xml:space="preserve">
</t>
    </r>
  </si>
  <si>
    <t>Número de artesanos premiados en concursos de arte popular.</t>
  </si>
  <si>
    <r>
      <t>Artesanos beneficiados por apoyos a la comercialización</t>
    </r>
    <r>
      <rPr>
        <i/>
        <sz val="10"/>
        <color indexed="30"/>
        <rFont val="Soberana Sans"/>
        <family val="3"/>
      </rPr>
      <t xml:space="preserve">
Indicador Seleccionado</t>
    </r>
  </si>
  <si>
    <t>Número de artesanos beneficiados por el apoyo a la comercialización.</t>
  </si>
  <si>
    <t>C Capacitaciones otorgadas a artesanos con ingresos inferiores a la lìnea de bienestar.</t>
  </si>
  <si>
    <r>
      <t>Artesanos capacitados</t>
    </r>
    <r>
      <rPr>
        <i/>
        <sz val="10"/>
        <color indexed="30"/>
        <rFont val="Soberana Sans"/>
        <family val="3"/>
      </rPr>
      <t xml:space="preserve">
</t>
    </r>
  </si>
  <si>
    <t>Número de artesanos capacitados</t>
  </si>
  <si>
    <t>D Apoyos otorgados a artesanos con ingresos inferiores a la lìnea de bienestar para la producción.</t>
  </si>
  <si>
    <r>
      <t>Apoyos a la producción entregados a los artesanos</t>
    </r>
    <r>
      <rPr>
        <i/>
        <sz val="10"/>
        <color indexed="30"/>
        <rFont val="Soberana Sans"/>
        <family val="3"/>
      </rPr>
      <t xml:space="preserve">
</t>
    </r>
  </si>
  <si>
    <t>Número de artesanos beneficiados con apoyos a las producción</t>
  </si>
  <si>
    <t>E Artesanos beneficiados</t>
  </si>
  <si>
    <r>
      <t>Beneficios entregados a los artesanos.</t>
    </r>
    <r>
      <rPr>
        <i/>
        <sz val="10"/>
        <color indexed="30"/>
        <rFont val="Soberana Sans"/>
        <family val="3"/>
      </rPr>
      <t xml:space="preserve">
</t>
    </r>
  </si>
  <si>
    <t>Número de artesanos beneficiados</t>
  </si>
  <si>
    <t>A 1 Adquisición de artesanías y otorgamiento de recursos de apoyos a la comercialización</t>
  </si>
  <si>
    <r>
      <t>Porcentaje de recursos ejercidos para la adquisición de artesanías.</t>
    </r>
    <r>
      <rPr>
        <i/>
        <sz val="10"/>
        <color indexed="30"/>
        <rFont val="Soberana Sans"/>
        <family val="3"/>
      </rPr>
      <t xml:space="preserve">
</t>
    </r>
  </si>
  <si>
    <t>(Monto de recursos ejercidos para adquisición de artesanías / Monto de recursos programados para adquisición de artesanías)*100</t>
  </si>
  <si>
    <t>C 2 Impartición de la capacitación a los artesanos seleccionados.</t>
  </si>
  <si>
    <r>
      <t xml:space="preserve">Porcentaje de recursos ejercidos para capacitación y asistencia técnica. </t>
    </r>
    <r>
      <rPr>
        <i/>
        <sz val="10"/>
        <color indexed="30"/>
        <rFont val="Soberana Sans"/>
        <family val="3"/>
      </rPr>
      <t xml:space="preserve">
</t>
    </r>
  </si>
  <si>
    <t>(Monto de recursos ejercidos para la capacitación integral y asistencia técnica / Monto de recursos programados para la capacitación integral y asistencia técnica)*100</t>
  </si>
  <si>
    <t>C 3 Medición de la satisfacción del beneficiario. (actividad transversal)</t>
  </si>
  <si>
    <r>
      <t>Porcentaje de beneficiarios que se sienten satisfechos con el servicio prestado por el programa FONART.</t>
    </r>
    <r>
      <rPr>
        <i/>
        <sz val="10"/>
        <color indexed="30"/>
        <rFont val="Soberana Sans"/>
        <family val="3"/>
      </rPr>
      <t xml:space="preserve">
</t>
    </r>
  </si>
  <si>
    <t>(Numero de Beneficiarios que se sienten satisfechos con el servicio prestado por el Programa FONART / Total de beneficiarios apoyados) * 100</t>
  </si>
  <si>
    <t>D 4 Otorgamiento de recursos de apoyos a la producción a los artesanos.</t>
  </si>
  <si>
    <r>
      <t>Porcentaje de recursos ejercidos para apoyos a la producción</t>
    </r>
    <r>
      <rPr>
        <i/>
        <sz val="10"/>
        <color indexed="30"/>
        <rFont val="Soberana Sans"/>
        <family val="3"/>
      </rPr>
      <t xml:space="preserve">
</t>
    </r>
  </si>
  <si>
    <t>(Monto de recursos ejercidos para apoyos a la producción / Monto de recursos programados para apoyos a la producción)*100</t>
  </si>
  <si>
    <r>
      <t xml:space="preserve">Porcentaje de artesanos beneficiados por apoyos a la comercialización que ampliaron mercado.
</t>
    </r>
    <r>
      <rPr>
        <sz val="10"/>
        <rFont val="Soberana Sans"/>
        <family val="2"/>
      </rPr>
      <t xml:space="preserve"> Causa : No se reporta avance debido a que la frecuencia de medición es anual, lo que significa que el padrón de beneficiarios para medir este indicador abarca del periodo enero-diciembre 2013. Motivo por el cual, hasta el cierre del ejercicio fiscal se obtuvo la totalidad de beneficiarios del FONART, lo que implica que la aplicación  se llevaría a cabo en el primer trimestre del año siguiente, ya que con base en el padrón de beneficiarios, la empresa que se contratará podrá determinar la muestra de la población a la que le será aplicado el cuestionario destinado para conocer la utilidad del apoyo otorgado.    Con base en lo anterior, a inicios del 2014 se inició el procedimiento para la contratación de una empresa externa que garantice confiabilidad en la metodología, diseño, muestra representativa, así como en su aplicación e interpretación de los resultados, a fin de obtener un resultado confiable que contribuya en la toma decisiones y acciones para mejorar las gestiones de la Entidad. Efecto: No se reporta avance debido a que su medición se realizará hasta el año 2014, con base en la información del padrón de beneficiarios 2013. Otros Motivos:</t>
    </r>
  </si>
  <si>
    <r>
      <t xml:space="preserve">Porcentaje de artesanos que mejoraron la calidad de su producción después de participar en los concursos de arte popular
</t>
    </r>
    <r>
      <rPr>
        <sz val="10"/>
        <rFont val="Soberana Sans"/>
        <family val="2"/>
      </rPr>
      <t xml:space="preserve"> Causa : No se reporta avance debido a que la frecuencia de medición es anual, lo que significa que el padrón de beneficiarios para medir este indicador abarca del periodo enero-diciembre 2013. Motivo por el cual, hasta el cierre del ejercicio fiscal se obtuvo la totalidad de beneficiarios del FONART, lo que implica que la aplicación  se llevaría a cabo en el primer trimestre del año siguiente, ya que con base en el padrón de beneficiarios, la empresa que se contratará podrá determinar la muestra de la población a la que le será aplicado el cuestionario destinado para conocer la utilidad del apoyo otorgado.     Con base en lo anterior, a inicios del 2014 se inició el procedimiento para la contratación de una empresa externa que garantice confiabilidad en la metodología, diseño, muestra representativa, así como en su aplicación e interpretación de los resultados, a fin de obtener un resultado confiable que contribuya en la toma decisiones y acciones para mejorar las gestiones de la Entidad. Efecto: No se reporta avance debido a que su medición se realizará hasta el año 2014, con base en la información del padrón de beneficiarios 2013. Otros Motivos:</t>
    </r>
  </si>
  <si>
    <r>
      <t xml:space="preserve">Porcentaje de artesanos capacitados que aplican en su producción las técnicas enseñadas
</t>
    </r>
    <r>
      <rPr>
        <sz val="10"/>
        <rFont val="Soberana Sans"/>
        <family val="2"/>
      </rPr>
      <t xml:space="preserve"> Causa : No se reporta avance debido a que la frecuencia de medición es anual, lo que significa que el padrón de beneficiarios para medir este indicador abarca del periodo enero-diciembre 2013. Motivo por el cual, hasta el cierre del ejercicio fiscal se obtuvo la totalidad de beneficiarios del FONART, lo que implica que la aplicación  se llevaría a cabo en el primer trimestre del año siguiente, ya que con base en el padrón de beneficiarios, la empresa que se contratará podrá determinar la muestra de la población a la que le será aplicado el cuestionario destinado para conocer la utilidad del apoyo otorgado.     Con base en lo anterior, a inicios del 2014 se inició el procedimiento para la contratación de una empresa externa que garantice confiabilidad en la metodología, diseño, muestra representativa, así como en su aplicación e interpretación de los resultados, a fin de obtener un resultado confiable que contribuya en la toma decisiones y acciones para mejorar las gestiones de la Entidad. Efecto: No se reporta avance debido a que su medición se realizará hasta el año 2014, con base en la información del padrón de beneficiarios 2013. Otros Motivos:</t>
    </r>
  </si>
  <si>
    <r>
      <t xml:space="preserve">Porcentaje de artesanos beneficiados con apoyos a la producción que incrementaron su producción.
</t>
    </r>
    <r>
      <rPr>
        <sz val="10"/>
        <rFont val="Soberana Sans"/>
        <family val="2"/>
      </rPr>
      <t xml:space="preserve"> Causa : No se reporta avance debido a que la frecuencia de medición es anual, lo que significa que el padrón de beneficiarios para medir este indicador abarca del periodo enero-diciembre 2013. Motivo por el cual, hasta el cierre del ejercicio fiscal se obtuvo la totalidad de beneficiarios del FONART, lo que implica que la aplicación  se llevaría a cabo en el primer trimestre del año siguiente, ya que con base en el padrón de beneficiarios, la empresa que se contratará podrá determinar la muestra de la población a la que le será aplicado el cuestionario destinado para conocer la utilidad del apoyo otorgado.     Con base en lo anterior, a inicios del 2014 se inició el procedimiento para la contratación de una empresa externa que garantice confiabilidad en la metodología, diseño, muestra representativa, así como en su aplicación e interpretación de los resultados, a fin de obtener un resultado confiable que contribuya en la toma decisiones y acciones para mejorar las gestiones de la Entidad. Efecto: No se reporta avance debido a que su medición se realizará hasta el año 2014, con base en la información del padrón de beneficiarios 2013. Otros Motivos:</t>
    </r>
  </si>
  <si>
    <r>
      <t xml:space="preserve">Porcentaje de recursos ejercidos por apoyos a la comercialización
</t>
    </r>
    <r>
      <rPr>
        <sz val="10"/>
        <rFont val="Soberana Sans"/>
        <family val="2"/>
      </rPr>
      <t xml:space="preserve"> Causa : Al cuarto trimestre la meta fue superada debido a que durante el año, se ha beneficiado a un mayor número de artesanos conforme a lo programado, presentando un desarrollo constante. Asimismo, se apoyó a más artesanos para que asistieran a más ferias y durante el último trimestre del año se llevó a cabo una feria más de las programadas en diferentes entidades de la República Mexicana, lo que reflejó un mayor ejercicio en el presupuesto. Efecto: Se superó la meta programada. Otros Motivos:Derivado de las reorientación de metas de la Vertiente de Capacitación Integral y Asistencia Técnica, se realizó una transferencia de recursos a la Vertiente de Apoyos a la Comercialización, para atender y beneficiar a un número mayor de artesanos.</t>
    </r>
  </si>
  <si>
    <r>
      <t xml:space="preserve">Artesanos beneficiados por adquisición de artesanías.
</t>
    </r>
    <r>
      <rPr>
        <sz val="10"/>
        <rFont val="Soberana Sans"/>
        <family val="2"/>
      </rPr>
      <t xml:space="preserve"> Causa : La operación de la vertiente de adquisición de artesanías tuvo un retraso en su operación debido a que las Reglas de Operación del Programa FONART y el Cuestionario Único de Información Socioeconómica (CUIS) fueron publicados en el Diario Oficial de la Federación hasta el 26 de Febrero de 2013, ocasionando que las sesiones del Comité de Validación de Proyectos Artesanales se reprogramaran y como consecuencia, la aprobación de los proyectos fueron autorizados de manera tardía. También, los factores ambientales registrados en diversas Entidades Federativas del país impidieron algunas de las compras programadas, así como la producción de las artesanías, no realizando la totalidad de compras.      Efecto: No se alcanzó la meta programada. Otros Motivos:</t>
    </r>
  </si>
  <si>
    <r>
      <t xml:space="preserve">Artesanos premiados en concursos de arte popular.
</t>
    </r>
    <r>
      <rPr>
        <sz val="10"/>
        <rFont val="Soberana Sans"/>
        <family val="2"/>
      </rPr>
      <t xml:space="preserve"> Causa : En virtud de que las Reglas de Operación del Programa FONART fueron publicadas en el Diario Oficial de la Federación el 26 de febrero de 2013, se retrasó la operación de la vertiente Concursos de Arte Popular, no habiéndose realizado a tiempo las sesiones del Comité de Validación de Proyectos Artesanales (COVAPA) para la autorización de los concursos programados.  Efecto: No se alcanzó la meta programada para el ejercicio fiscal 2013. Otros Motivos:</t>
    </r>
  </si>
  <si>
    <r>
      <t xml:space="preserve">Artesanos beneficiados por apoyos a la comercialización
</t>
    </r>
    <r>
      <rPr>
        <sz val="10"/>
        <rFont val="Soberana Sans"/>
        <family val="2"/>
      </rPr>
      <t xml:space="preserve"> Causa : Desde el primer trimestre del ejercicio fiscal 2013, la meta fue superada respecto a lo programado, manteniendo de manera constante el apoyo a los artesanos. También, se realizó una reorientación de metas de la Vertiente de Capacitación Integral y Asistencia Técnica a fin de realizar una transferencia de recursos para la Vertiente de Apoyos a la Comercialización con el objetivo de atender y beneficiar a un mayor número de artesanos. La adecuación de metas se solicitó a través del Enlace de Programación y Presupuesto de la SEDESOL. Asimismo, se brindó el seguimiento de las solicitudes recibidas de los artesanos para asistir a las diferentes ferias programadas en diversas Entidades Federativas, lo que reflejó un mayor número de beneficiarios. Efecto: Derivado de la estrategia en la atención de las solicitudes recibidas por parte de los artesanos y a la transferencia de recursos de la Vertiente de Capacitación Integral y Asistencia Técnica,  se superó la meta programada, teniendo como resultado un mayor número de artesanos beneficiados. Otros Motivos:</t>
    </r>
  </si>
  <si>
    <r>
      <t xml:space="preserve">Artesanos capacitados
</t>
    </r>
    <r>
      <rPr>
        <sz val="10"/>
        <rFont val="Soberana Sans"/>
        <family val="2"/>
      </rPr>
      <t xml:space="preserve"> Causa : La tardía publicación de las Reglas de Operación del Programa FONART y del Cuestionario Único de Información Socioeconómica (CUIS) en el primer Trimestre del año retrasó la entrega de los apoyos. También, se llevó a cabo la revisión de operación de la vertiente, lo que originó que a partir del tercer trimestre del año, se tomara la decisión de que algunos costos de los proyectos aprobados por el Comité de Validación de Proyectos Artesanales, fueran ejecutados por técnicos locales a través de instituciones de educación superior, reflejando un ahorro. Asimismo, las situaciones climatológicas presentadas el mes de septiembre en diversas Entidades Federativas ocasionaron que las metas programadas inicialmente en esta vertiente se reprogramaran, con el objetivo de apoyar a los artesanos afectados por la pérdida de sus instrumentos de trabajo. Esta modificación de metas se solicitó mediante correo electrónico al Enlace de la Dirección General de Programación y Presupuesto de la SEDESOL.       Efecto: No se cumplió con la meta programada, sin embargo se reorientó el recurso a otras vertientes del Programa beneficiando a un mayor número de artesanos programados. Otros Motivos:</t>
    </r>
  </si>
  <si>
    <r>
      <t xml:space="preserve">Apoyos a la producción entregados a los artesanos
</t>
    </r>
    <r>
      <rPr>
        <sz val="10"/>
        <rFont val="Soberana Sans"/>
        <family val="2"/>
      </rPr>
      <t xml:space="preserve"> Causa : Derivado de la estrategia implementada en la revisión de la operación de las vertientes para ejecutar proyectos exitosos, así como en el mayor número de solicitudes recibidas, a esta vertiente se realizó la transferencia de recursos de las vertientes de Capacitación Integral y Asistencia Técnica y de Concursos de Arte Popular, quienes por las situaciones climatológicas del mes de septiembre, reorientaron sus metas, realizando una transferencia a la vertiente de Apoyos a la Producción con la finalidad de apoyar a un mayor número de artesanos. Efecto: Se superó la meta programada, apoyando a un mayor número de artesanos. Otros Motivos:</t>
    </r>
  </si>
  <si>
    <r>
      <t xml:space="preserve">Beneficios entregados a los artesanos.
</t>
    </r>
    <r>
      <rPr>
        <sz val="10"/>
        <rFont val="Soberana Sans"/>
        <family val="2"/>
      </rPr>
      <t xml:space="preserve"> Causa : En virtud de que la administración realizó a tiempo la revisión de la operación de las vertientes, e implementó estrategias en el comportamiento de las metas, se detectaron fortalezas y debilidades que permitieron la adecuación en tiempo sobre la aprobación y ejecución de los proyectos, generando la aprobación de proyectos y la reorientación del objetivo del Programa, con la finalidad de atender al mayor número de artesanos que se encuentran por debajo de la línea de bienestar. Efecto: Se superó la meta programada del ejercicio fiscal 2013 con un 15.4%. Otros Motivos:</t>
    </r>
  </si>
  <si>
    <r>
      <t xml:space="preserve">Porcentaje de recursos ejercidos para la adquisición de artesanías.
</t>
    </r>
    <r>
      <rPr>
        <sz val="10"/>
        <rFont val="Soberana Sans"/>
        <family val="2"/>
      </rPr>
      <t xml:space="preserve"> Causa : Derivado de la estrategia implementada en la revisión de la operación del Programa y en la transferencia de recursos de la vertiente de capacitación integral y asistencia técnica, se atendieron la mayoría de las solicitudes de los artesanos, realizando más compras de las programadas. Asimismo, durante el ejercicio fiscal 2013, el FONART recibió solicitudes de pedidos especiales por parte de diferentes Dependencias o Entidades (PGR) o de empresas (COPPEL), en las que se dio atención, generando compras para dar atención a los pedidos.     Efecto: Se superó la meta programada, beneficiando a un mayor número de artesanos. Otros Motivos:</t>
    </r>
  </si>
  <si>
    <r>
      <t xml:space="preserve">Porcentaje de recursos ejercidos para capacitación y asistencia técnica. 
</t>
    </r>
    <r>
      <rPr>
        <sz val="10"/>
        <rFont val="Soberana Sans"/>
        <family val="2"/>
      </rPr>
      <t xml:space="preserve"> Causa : La tardía publicación de las Reglas de Operación del Programa FONART y del Cuestionario Único de Información Socioeconómica (CUIS) en el primer Trimestre del año retrasó la entrega de los apoyos. También, se llevó a cabo la revisión de operación de la vertiente, lo que originó que a partir del tercer trimestre del año, se tomara la decisión de que algunos costos de los proyectos aprobados por el Comité de Validación de Proyectos Artesanales, fueran ejecutados por técnicos locales a través de instituciones de educación superior, reflejando una reducción en la ejecución del presupuesto. Asimismo, las situaciones climatológicas presentadas el mes de septiembre en diversas Entidades Federativas ocasionaron que las metas programadas inicialmente en esta vertiente se reprogramaran, con el objetivo de apoyar a los artesanos afectados por la pérdida de sus instrumentos de trabajo. Esta modificación de metas se solicitó mediante correo electrónico al Enlace de la Dirección General de Programación y Presupuesto de la SEDESOL.   Efecto: No se cumplió con la meta programada, sin embargo se reorientó el recurso a otras vertientes del Programa beneficiando a un mayor número de artesanos programados. Otros Motivos:</t>
    </r>
  </si>
  <si>
    <r>
      <t xml:space="preserve">Porcentaje de beneficiarios que se sienten satisfechos con el servicio prestado por el programa FONART.
</t>
    </r>
    <r>
      <rPr>
        <sz val="10"/>
        <rFont val="Soberana Sans"/>
        <family val="2"/>
      </rPr>
      <t xml:space="preserve"> Causa : Desde el primer trimestre del ejercicio fiscal, a través del Portal Aplicativo de la Secretaría de Hacienda y Crédito Público, se reportó un error en la captura original, no pudiendo realizar la corrección debido a que no se encontraba habilitada la opción para tal efecto. El error consistió en que el porcentaje se programó en el Portal de manera acumulativa, no debiendo ser así, ya que el porcentaje del índice debió de mantenerse en un mismo porcentaje. Efecto: La meta se superó toda vez que del 100% de los artesanos encuestados, el 90 % declaró sentirse satisfecho por los beneficios otorgados por el Programa FONART. Otros Motivos:</t>
    </r>
  </si>
  <si>
    <r>
      <t xml:space="preserve">Porcentaje de recursos ejercidos para apoyos a la producción
</t>
    </r>
    <r>
      <rPr>
        <sz val="10"/>
        <rFont val="Soberana Sans"/>
        <family val="2"/>
      </rPr>
      <t xml:space="preserve"> Causa : Derivado de la estrategia implementada en la revisión de la operación de las vertientes para ejecutar proyectos exitosos, así como en el mayor número de solicitudes recibidas, a esta vertiente se realizó la transferencia de recursos de las vertientes de Capacitación Integral y Asistencia Técnica y de Concursos de Arte Popular, quienes por las situaciones climatológicas del mes de septiembre, reorientaron sus metas, realizando una transferencia a la vertiente de Apoyos a la Producción con la finalidad de apoyar a un mayor número de artesanos. Efecto: Se superó la meta programada para el ejercicio fiscal 2013. Otros Motivos:</t>
    </r>
  </si>
  <si>
    <t>S061</t>
  </si>
  <si>
    <t>Programa 3 x 1 para Migrantes</t>
  </si>
  <si>
    <t>212-Unidad de Microrregiones</t>
  </si>
  <si>
    <t>Contribuir al desarrollo de las localidades seleccionadas por los migrantes mediante la realización de proyectos que mejoren la infraestructura social básica, complementaria y productiva</t>
  </si>
  <si>
    <r>
      <t>Número de clubes de migrantes participantes</t>
    </r>
    <r>
      <rPr>
        <i/>
        <sz val="10"/>
        <color indexed="30"/>
        <rFont val="Soberana Sans"/>
        <family val="3"/>
      </rPr>
      <t xml:space="preserve">
</t>
    </r>
  </si>
  <si>
    <t>Es el número de clubes de migrantes con proyectos aprobados participantes en el Programa</t>
  </si>
  <si>
    <t>Clubes de migrantes</t>
  </si>
  <si>
    <r>
      <t>Porcentaje de coincidencia entre las iniciativas de los migrantes y las agendas de desarrollo social de los actores participantes</t>
    </r>
    <r>
      <rPr>
        <i/>
        <sz val="10"/>
        <color indexed="30"/>
        <rFont val="Soberana Sans"/>
        <family val="3"/>
      </rPr>
      <t xml:space="preserve">
</t>
    </r>
  </si>
  <si>
    <t>(Número de Proyectos realizados que son coincidentes con las agendas de desarrollo social de los actores participantes / Número total de proyectos realizados) * 100     Se recomienda consultar la Nota Metodológica anexa</t>
  </si>
  <si>
    <t>Las localidades seleccionadas son atendidas con proyectos de inversión de los migrantes y con la concurrencia de recursos de la Federación, Estados y Municipios</t>
  </si>
  <si>
    <r>
      <t>Número de localidades apoyadas</t>
    </r>
    <r>
      <rPr>
        <i/>
        <sz val="10"/>
        <color indexed="30"/>
        <rFont val="Soberana Sans"/>
        <family val="3"/>
      </rPr>
      <t xml:space="preserve">
</t>
    </r>
  </si>
  <si>
    <t>Es el total de localidades apoyadas por el Programa</t>
  </si>
  <si>
    <r>
      <t>Proporción de recursos complementarios respecto de los recursos canalizados por los migrantes</t>
    </r>
    <r>
      <rPr>
        <i/>
        <sz val="10"/>
        <color indexed="30"/>
        <rFont val="Soberana Sans"/>
        <family val="3"/>
      </rPr>
      <t xml:space="preserve">
</t>
    </r>
  </si>
  <si>
    <t>(Recursos invertidos por gobiernos estatales + Recursos invertidos por gobiernos municipales + Recursos invertidos por el gobierno federal) / Recursos invertidos por Clubes de Migrantes</t>
  </si>
  <si>
    <r>
      <t xml:space="preserve">Porcentaje de proyectos atendidos por el Programa </t>
    </r>
    <r>
      <rPr>
        <i/>
        <sz val="10"/>
        <color indexed="30"/>
        <rFont val="Soberana Sans"/>
        <family val="3"/>
      </rPr>
      <t xml:space="preserve">
</t>
    </r>
  </si>
  <si>
    <t>[(Numero de proyectos aprobados por el Programa /Número de proyectos propuestos por lo migrantes en el ejercicio fiscal)*100]</t>
  </si>
  <si>
    <t xml:space="preserve">A Proyectos cofinanciados por los migrantes y los tres órdenes de gobierno </t>
  </si>
  <si>
    <r>
      <t>Número total de proyectos aprobados</t>
    </r>
    <r>
      <rPr>
        <i/>
        <sz val="10"/>
        <color indexed="30"/>
        <rFont val="Soberana Sans"/>
        <family val="3"/>
      </rPr>
      <t xml:space="preserve">
Indicador Seleccionado</t>
    </r>
  </si>
  <si>
    <t>Número de proyectos de infraestructura social básica comunitaria aprobados + Número de proyectos de orientación productiva aprobados bajo los esquemas del programa + Número de otros proyectos aprobados.</t>
  </si>
  <si>
    <r>
      <t xml:space="preserve">Otros proyectos realizados bajo los esquemas de operación del Programa </t>
    </r>
    <r>
      <rPr>
        <i/>
        <sz val="10"/>
        <color indexed="30"/>
        <rFont val="Soberana Sans"/>
        <family val="3"/>
      </rPr>
      <t xml:space="preserve">
</t>
    </r>
  </si>
  <si>
    <t xml:space="preserve">Número de otros proyectos realizados bajo los esquemas de operación del Programa </t>
  </si>
  <si>
    <r>
      <t>Proyectos de infraestructura social básica comunitaria realizados bajo los esquemas de operación del Programa</t>
    </r>
    <r>
      <rPr>
        <i/>
        <sz val="10"/>
        <color indexed="30"/>
        <rFont val="Soberana Sans"/>
        <family val="3"/>
      </rPr>
      <t xml:space="preserve">
</t>
    </r>
  </si>
  <si>
    <t>Número de Proyectos de infraestructura social básica comunitaria realizados bajo los esquemas de operación del Programa</t>
  </si>
  <si>
    <r>
      <t xml:space="preserve">Proyectos de orientación Productiva realizados bajo los esquemas de operación del Programa </t>
    </r>
    <r>
      <rPr>
        <i/>
        <sz val="10"/>
        <color indexed="30"/>
        <rFont val="Soberana Sans"/>
        <family val="3"/>
      </rPr>
      <t xml:space="preserve">
</t>
    </r>
  </si>
  <si>
    <t>Número de proyectos de orientación productiva realizados bajo los esquemas de operación del Programa.</t>
  </si>
  <si>
    <r>
      <t>Porcentaje de proyectos de Infraestructura básica realizados respecto del total de proyectos de infraestructura realizados por el Programa</t>
    </r>
    <r>
      <rPr>
        <i/>
        <sz val="10"/>
        <color indexed="30"/>
        <rFont val="Soberana Sans"/>
        <family val="3"/>
      </rPr>
      <t xml:space="preserve">
</t>
    </r>
  </si>
  <si>
    <t>(Número de proyectos de agua, drenaje y electrificación/ Número total de proyectos de Infraestructura básica) x 100</t>
  </si>
  <si>
    <r>
      <t>Porcentaje de proyectos de infraestructura para el equipamiento y servicios comunitarios realizados respecto del total de proyectos de infraestructura realizados por el Programa</t>
    </r>
    <r>
      <rPr>
        <i/>
        <sz val="10"/>
        <color indexed="30"/>
        <rFont val="Soberana Sans"/>
        <family val="3"/>
      </rPr>
      <t xml:space="preserve">
</t>
    </r>
  </si>
  <si>
    <t>(Número de proyectos de Salud, Educación, Deporte, Centros Comunitarios / Número total de proyectos de Infraestructura básica) x 100</t>
  </si>
  <si>
    <r>
      <t>Porcentaje de proyectos de infraestructura para la urbanización realizados respecto del total de proyectos de infraestructura realizados por el Programa</t>
    </r>
    <r>
      <rPr>
        <i/>
        <sz val="10"/>
        <color indexed="30"/>
        <rFont val="Soberana Sans"/>
        <family val="3"/>
      </rPr>
      <t xml:space="preserve">
</t>
    </r>
  </si>
  <si>
    <t>(Número de proyectos de Urbanización y Pavimentación, Caminos y carreteras, entre otros / Número total de proyectos de Infraestructura básica) x 100</t>
  </si>
  <si>
    <t xml:space="preserve">A 1 Capacitación a los clubes de migrantes acerca del alcance y mecanismos de operación del Programa </t>
  </si>
  <si>
    <r>
      <t>Número de talleres o encuentros que incluyan actividades de difusión y capacitación realizadas o promovidas por las representaciones del Programa en la Unión Americana</t>
    </r>
    <r>
      <rPr>
        <i/>
        <sz val="10"/>
        <color indexed="30"/>
        <rFont val="Soberana Sans"/>
        <family val="3"/>
      </rPr>
      <t xml:space="preserve">
</t>
    </r>
  </si>
  <si>
    <t>Total de talleres o encuentros, que incluyan actividades de difusión y capacitación realizadas o promovidas por las representaciones del Programa en la Unión Americana durante el año</t>
  </si>
  <si>
    <t>Taller o Encuentro</t>
  </si>
  <si>
    <t xml:space="preserve">A 2 Validación de Proyectos por el Comité de Validación y Atención a Migrantes (COVAM)  </t>
  </si>
  <si>
    <r>
      <t>Número de proyectos seleccionados por el Comité de Validación y Atención a Migrantes (COVAM)</t>
    </r>
    <r>
      <rPr>
        <i/>
        <sz val="10"/>
        <color indexed="30"/>
        <rFont val="Soberana Sans"/>
        <family val="3"/>
      </rPr>
      <t xml:space="preserve">
</t>
    </r>
  </si>
  <si>
    <t>Número de proyectos seleccionados por el Comité de Validación y Atención a Migrantes (COVAM) se refiere a los rubros de PROYECTOS DE INFRAESTRUCTURA SOCIAL BÁSICA, PROYECTOS DE ORIENTACIÓN PRODUCTIVA Y OTROS PROYECTOS. El rubro de Otros Proyectos se refiere a aquellos proyectos de gran utilidad para la población objetivo como los centros para adultos mayores, hogares para madres solteras y niños desamparados, albergues, centros comunitarios de desarrollo, adquisición de ambulancias, equipo para bomberos, mejoramiento de la vivienda, becas para estudiantes necesitados, bibliotecas, centros culturales e históricos, museos, entre otros.</t>
  </si>
  <si>
    <t>A 3 Integración de clubes espejo de contraloría social</t>
  </si>
  <si>
    <r>
      <t>Número de clubes espejo de contraloria social integrados por el programa</t>
    </r>
    <r>
      <rPr>
        <i/>
        <sz val="10"/>
        <color indexed="30"/>
        <rFont val="Soberana Sans"/>
        <family val="3"/>
      </rPr>
      <t xml:space="preserve">
</t>
    </r>
  </si>
  <si>
    <t>Total de clubes espejo de contraloria social integrados por el programa.</t>
  </si>
  <si>
    <t>Clubes espejo de contraloría social</t>
  </si>
  <si>
    <r>
      <t xml:space="preserve">Número de clubes de migrantes participantes
</t>
    </r>
    <r>
      <rPr>
        <sz val="10"/>
        <rFont val="Soberana Sans"/>
        <family val="2"/>
      </rPr>
      <t xml:space="preserve"> Causa : El indicador mide el número de clubes de migrantes participantes (no la conformación de los mismos).         El Programa 3x1 para Migrantes opera mediante un esquema de demanda ciudadana (iniciativa de los migrantes), por lo que la definición de las metas anuales presenta complejidades para establecerse con exactitud. En el caso de este indicador, la meta asignada en cada ejercicio fiscal se programa mediante una estimación inercial, cuyo cumplimiento puede verse afectado dado el número de  Clubes de Migrantes que participan en el programa y número de proyectos que son aprobados durante el ejercicio fiscal a lo largo del ejercicio: Los Clubes de Migrantes pueden participar en el Programa con más de un proyecto en el mismo año.         El Programa realizó importantes estrategias de difusión, promoción y comunicación a fin de que un mayor número de clubes participara presentando proyectos durante 2013. No obstante, el número de clubes participantes fue menor a lo programado. Efecto:  Otros Motivos:</t>
    </r>
  </si>
  <si>
    <r>
      <t xml:space="preserve">Porcentaje de coincidencia entre las iniciativas de los migrantes y las agendas de desarrollo social de los actores participantes
</t>
    </r>
    <r>
      <rPr>
        <sz val="10"/>
        <rFont val="Soberana Sans"/>
        <family val="2"/>
      </rPr>
      <t xml:space="preserve"> Causa : La ficha técnica del indicador Porcentaje de coincidencia entre las iniciativas de los migrantes y las agendas de desarrollo social de los actores participantes, estableció que la fuente de información será un estudio/encuesta realizado por el Programa.         Por diversas causas, entre presupuestales, logísticas y de factibilidad en los tiempos previstos en 2012, el levantamiento de información en 2013 no pudo realizarse, por lo que el cálculo del indicador  - levantamiento de una encuesta con muestra representativa de actores participantes en el Programa: Delegaciones Federales de la Sedesol, Gobiernos Estatales y Municipales, así como de las organizaciones migrantes a lo largo del territorio nacional, no está disponible        Para solventar este compromiso, y en el contexto de la Evaluación de Resultados programada para el ejercicio fiscal 2015, se tiene previsto, mediante la obtención de una muestra representativa de obras y proyectos apoyados en 2012 y 2013, el levantamiento de información para construir Indicador en comento. Efecto:  Otros Motivos:</t>
    </r>
  </si>
  <si>
    <r>
      <t xml:space="preserve">Número de localidades apoyadas
</t>
    </r>
    <r>
      <rPr>
        <sz val="10"/>
        <rFont val="Soberana Sans"/>
        <family val="2"/>
      </rPr>
      <t xml:space="preserve"> Causa : Debido al diseño del Programa y a solicitud de los Migrantes, los recursos se reorientaron a acciones de infraestructura de mayor impacto como la construcción de caminos rurales, redes de electrificación, la segunda etapa de la construcción de un centro oncológico, etc.; proyectos que requieren mayor inversión pero  que tienen mayor alcance. Esta situación repercutió en la cobertura del programa: el número de localidades beneficiadas de manera directa se redujo. Sin embargo,  el beneficio indirecto tiene mayor alcance, en tanto con los proyectos realizados la población que habita estas localidades y  las localidades aledañas puede acceder a mejores servicios.  Efecto:  Otros Motivos:</t>
    </r>
  </si>
  <si>
    <r>
      <t xml:space="preserve">Proporción de recursos complementarios respecto de los recursos canalizados por los migrantes
</t>
    </r>
    <r>
      <rPr>
        <sz val="10"/>
        <rFont val="Soberana Sans"/>
        <family val="2"/>
      </rPr>
      <t xml:space="preserve"> Causa : El avance del indicador con relación a la meta establecida presenta una  variación a la alza de 0.2 puntos por encima de la meta original. El comportamiento registrado por el indicador muestra que existió interés y coordinación en la participación de los órdenes de gobierno en las acciones del Programa. La meta prevista resultó modesta en tanto el comportamiento histórico del indicador mostraba una relación 2 a 1, se espera como escenario ideal el 3 a 1.        El avance registrado por el indicador puede ser un buen referente para inferir que se ha fortalecido la coordinación de los participantes en el Programa, ya que se sitúa más cerca del escenario ideal del esquema de complementariedad 3x1. Efecto:  Otros Motivos:</t>
    </r>
  </si>
  <si>
    <r>
      <t xml:space="preserve">Porcentaje de proyectos atendidos por el Programa 
</t>
    </r>
    <r>
      <rPr>
        <sz val="10"/>
        <rFont val="Soberana Sans"/>
        <family val="2"/>
      </rPr>
      <t xml:space="preserve"> Causa : El avance positivo del indicador con respecto a su meta señala que el Programa tuvo una capacidad institucional adicional para atender demandas presentadas por un menor número de Clubes participantes (se agilizaron sus procesos fortaleciendo la gestión) de los que se tenía previsto.           El establecimiento de la meta del indicador consideró una cifra moderada en la medida que se tenían previstos escenarios conservadores tanto en la integración de proyectos por parte de los migrantes como en la agilidad de los procesos operativos del Programa debido al cambio de administración.                El comportamiento del indicador puede ser un buen referente para inferir que se ha fortalecido la coordinación de los participantes en el Programa, ya que se sitúa más cerca del escenario ideal del 100 por ciento en la atención de la demanda real.            Efecto:  Otros Motivos:</t>
    </r>
  </si>
  <si>
    <r>
      <t xml:space="preserve">Número total de proyectos aprobados
</t>
    </r>
    <r>
      <rPr>
        <sz val="10"/>
        <rFont val="Soberana Sans"/>
        <family val="2"/>
      </rPr>
      <t xml:space="preserve"> Causa : Debido al diseño del Programa y a solicitud de los Migrantes, los recursos se reorientaron a acciones de infraestructura de mayor impacto como la construcción de caminos rurales, redes de electrificación, la segunda etapa de la construcción de un centro oncológico, etc.; proyectos que requieren mayor inversión pero  que tienen mayor alcance. Esta situación repercutió en  el número de proyectos apoyados por el programa. No obstante, los proyectos tendrán resultados importantes en la población que habita las localidades atendidas y en  las localidades aledañas, pues con los proyectos realizados se mejora el acceso a servicios e infraestructura comunitaria.  Efecto:  Otros Motivos:</t>
    </r>
  </si>
  <si>
    <r>
      <t xml:space="preserve">Otros proyectos realizados bajo los esquemas de operación del Programa 
</t>
    </r>
    <r>
      <rPr>
        <sz val="10"/>
        <rFont val="Soberana Sans"/>
        <family val="2"/>
      </rPr>
      <t xml:space="preserve"> Causa : La política pública que promueve el Programa 3x1 para Migrantes se detona a partir de la iniciativa de los Clubes de Migrantes, este hecho (característica principal del Programa), dificulta el establecimiento de las metas, las cuales se establecen -en general- siguiendo la tendencia histórica del indicador.       Sin embargo, para el ejercicio fiscal 2013, las iniciativas de los clubes de migrantes y los acuerdos con los demás actores  participantes -en el seno del COVAM- seleccionaron más proyectos de infraestructura (construcción de caminos rurales, redes de electrificación, la segunda etapa de la construcción de un centro oncológico, etc.) que proyectos del rubro "otros", los cuales, por sus características, fueron considerados de  mayor impacto social. Esta tendencia impactó el cumplimiento de la meta establecida en este indicador al inicio del ejercicio fiscal.      No obstante, es destacable el impacto de las acciones hacia donde los migrantes dirigieron sus iniciativas. Tal es el caso de  la construcción de la segunda fase de un centro oncológico pediátrico en el municipio de Tijuana en Baja California, por citar sólo un ejemplo. El centro oncológico pediátrico de B.C., es una de las 40 unidades médicas acreditadas como hospital de alta especialización y en sus archivos ya cuenta con más de 1000 expedientes, más de 25,000 servicios y, desde hace más de un año, se había registrado sobrepoblación de pacientes. El proyecto del centro oncológico incrementará la oferta del servicio mejorando su capacidad instalada al brindar tratamiento integral a pacientes pediátricos con cáncer de 0 a 18 años, desde la perspectiva biológica, nutricional, social y psicológica.      Por esta razón, el avance del indicador con respecto a su meta fue moderada.       Efecto:  Otros Motivos:</t>
    </r>
  </si>
  <si>
    <r>
      <t xml:space="preserve">Proyectos de infraestructura social básica comunitaria realizados bajo los esquemas de operación del Programa
</t>
    </r>
    <r>
      <rPr>
        <sz val="10"/>
        <rFont val="Soberana Sans"/>
        <family val="2"/>
      </rPr>
      <t xml:space="preserve"> Causa : Durante el ejercicio fiscal 2013, las iniciativas de los clubes de migrantes y los acuerdos con los demás actores  participantes -en el seno del COVAM- seleccionaron más proyectos de infraestructura (construcción de caminos rurales, redes de electrificación, la segunda etapa de la construcción de un centro oncológico, etc.),  las cuales recibieron el apoyo del Programa bajo la consideración de que representan un mayor impacto social en las comunidades.      Si bien la meta establecida al inicio del ejercicio fiscal se rebasó por un número reducido de proyectos, se considera que el comportamiento del indicador es aceptable. Efecto:  Otros Motivos:</t>
    </r>
  </si>
  <si>
    <r>
      <t xml:space="preserve">Proyectos de orientación Productiva realizados bajo los esquemas de operación del Programa 
</t>
    </r>
    <r>
      <rPr>
        <sz val="10"/>
        <rFont val="Soberana Sans"/>
        <family val="2"/>
      </rPr>
      <t xml:space="preserve"> Causa : La política pública que promueve el Programa 3x1 para Migrantes se detona a partir de la iniciativa de los Clubes de Migrantes, este hecho (característica principal del Programa), dificulta el establecimiento de las metas, las cuales se establecen -en general- siguiendo la tendencia histórica del indicador.      Sin embargo, para el ejercicio fiscal 2013, las iniciativas de los clubes de migrantes y los acuerdos con los demás actores  participantes -en el seno del COVAM- seleccionaron más proyectos de infraestructura (construcción de caminos rurales, redes de electrificación, la segunda etapa de la construcción de un centro oncológico, etc.) que proyectos productivos, los cuales, por sus características, fueron considerados de  mayor impacto social. Esta tendencia impactó el cumplimiento de la meta establecida en este indicador al inicio del ejercicio fiscal.          No obstante, es destacable el impacto de las acciones hacia donde los migrantes dirigieron sus iniciativas. Tal es el caso de  la construcción de la segunda fase de un centro oncológico pediátrico en el municipio de Tijuana en Baja California, por citar sólo un ejemplo. El centro oncológico pediátrico de B.C., es una de las 40 unidades médicas acreditadas como hospital de alta especialización y en sus archivos ya cuenta con más de 1000 expedientes, más de 25,000 servicios y, desde hace más de un año, se había registrado sobrepoblación de pacientes. El proyecto del centro oncológico incrementará la oferta del servicio mejorando su capacidad instalada al brindar tratamiento integral a pacientes pediátricos con cáncer de 0 a 18 años, desde la perspectiva biológica, nutricional, social y psicológica.          A pesar de que el avance registrado por el indicador con respecto a su meta fue ligeramente a la baja, se considera que la atención de iniciativas presentadas por los migrantes fue importante. Efecto:  Otros Motivos:</t>
    </r>
  </si>
  <si>
    <r>
      <t xml:space="preserve">Porcentaje de proyectos de Infraestructura básica realizados respecto del total de proyectos de infraestructura realizados por el Programa
</t>
    </r>
    <r>
      <rPr>
        <sz val="10"/>
        <rFont val="Soberana Sans"/>
        <family val="2"/>
      </rPr>
      <t xml:space="preserve"> Causa : El comportamiento registrado por el indicador Porcentaje de proyectos de Infraestructura básica realizados respecto del total de proyectos de infraestructura realizados por el Programa, se debe a que los Clubes de migrantes y Asociaciones participantes con el P3x1 han priorizado la realización de este tipo de acciones en función de las necesidades más sentidas en sus comunidades de origen (entre las que se encuentran proyectos de agua, drenaje y electrificación).         Es necesario tomar en cuenta que la relación de proyectos e iniciativas presentadas por los Clubes de Migrantes ha sido considerablemente menor que en otros años debido, entre otras cosas, a la situación económica que enfrentaron los connacionales en Estados Unidos, relacionada con la desaceleración económica  de este país, lo cual ocasionó que menos proyectos fueran presentados en otros rubros y se canalizaran hacia este tipo de obras, situación que provocó una ligera desviación en el avance registrado por el indicador, sin que ello se contraponga con los objetivos del Programa.     Efecto:  Otros Motivos:</t>
    </r>
  </si>
  <si>
    <r>
      <t xml:space="preserve">Porcentaje de proyectos de infraestructura para el equipamiento y servicios comunitarios realizados respecto del total de proyectos de infraestructura realizados por el Programa
</t>
    </r>
    <r>
      <rPr>
        <sz val="10"/>
        <rFont val="Soberana Sans"/>
        <family val="2"/>
      </rPr>
      <t xml:space="preserve"> Causa : La política pública que promueve el Programa 3x1 para Migrantes se detona a partir de la iniciativa de los clubes de migrantes, este hecho (característica principal del Programa), dificulta la programación de las metas ex ante el ejercicio fiscal; éstas en general se establecen siguiendo la tendencia histórica del indicador.        Sin embargo, durante el ejercicio fiscal 2013, las iniciativas de los clubes de migrantes y los acuerdos con los demás actores  participantes, en el seno del COVAM, seleccionaron más proyectos  de infraestructura (construcción de caminos rurales, redes de electrificación, entre otros).        Asimismo, en el comportamiento del indicador influye la demanda original de proyectos presentados por los Clubes u Organizaciones de Migrantes, los cuales presentaron menos proyectos clasificados en este rubro, ocasionando una tendencia a la baja en el avance registrado por el indicador. Efecto:  Otros Motivos:</t>
    </r>
  </si>
  <si>
    <r>
      <t xml:space="preserve">Porcentaje de proyectos de infraestructura para la urbanización realizados respecto del total de proyectos de infraestructura realizados por el Programa
</t>
    </r>
    <r>
      <rPr>
        <sz val="10"/>
        <rFont val="Soberana Sans"/>
        <family val="2"/>
      </rPr>
      <t xml:space="preserve"> Causa : El comportamiento registrado por el indicador Porcentaje de proyectos de infraestructura para la urbanización realizados respecto del total de proyectos de infraestructura realizados por el Programa, se debe a que los Clubes de migrantes y Asociaciones participantes con el P3x1  priorizaron la realización de este tipo de acciones en función de las necesidades más sentidas en sus comunidades de origen (entre las que se encuentran proyectos de urbanización y pavimentación, caminos y carreteras).          Es necesario considerar que la relación de proyectos e iniciativas presentadas por los Clubes de Migrantes ha sido considerablemente menor que en otros años debido, entre otras cosas, a la situación económica que enfrentaron los connacionales en Estados Unidos, relacionada con la desaceleración económica de este país, contexto en el que la comunidad migrante otorgó un mayor peso a las inversiones hacia este rubro de apoyo.  Efecto:  Otros Motivos:</t>
    </r>
  </si>
  <si>
    <r>
      <t xml:space="preserve">Número de talleres o encuentros que incluyan actividades de difusión y capacitación realizadas o promovidas por las representaciones del Programa en la Unión Americana
</t>
    </r>
    <r>
      <rPr>
        <sz val="10"/>
        <rFont val="Soberana Sans"/>
        <family val="2"/>
      </rPr>
      <t xml:space="preserve"> Causa : Debido a la constante necesidad de difundir los esquemas de operación del Programa, y considerando que desde el inicio de la presente Administración se ha priorizado realizar acciones transversales, en el marco de la Cruzada Nacional Contra el Hambre, la realización de talleres o encuentros de difusión se incrementó. Esto ha permitido  incrementar las acciones que favorecen la coordinación entre los distintos órdenes de gobierno y la sociedad, actividad a la cual favorecen los esquemas de operación del Programa. Por estas razones, la meta establecida en el indicador al inicio del ejercicio fue superada. Efecto:  Otros Motivos:</t>
    </r>
  </si>
  <si>
    <r>
      <t xml:space="preserve">Número de proyectos seleccionados por el Comité de Validación y Atención a Migrantes (COVAM)
</t>
    </r>
    <r>
      <rPr>
        <sz val="10"/>
        <rFont val="Soberana Sans"/>
        <family val="2"/>
      </rPr>
      <t xml:space="preserve"> Causa : Derivado de la naturaleza del Programa y a solicitud de los Migrantes los recursos se reorientaron a acciones de infraestructura de mayor impacto, como la construcción de caminos rurales, redes de electrificación, la segunda etapa de la construcción de un centro oncológico, entre otros; los cuales requieren de una mayor inversión. Esto repercutió en las acciones totales realizadas, en tanto se llevó a cabo un menor número que los proyectos esperados al inicio del ejercicio fiscal, pero que tienen beneficios indirectos en un mayor espacio territorial, principalmente en las localidades aledañas a las localidades donde se ejecutaron las acciones.      No obstante estas particularidades, el avance registrado en el indicador presenta un comportamiento aceptable en relación con la meta planificada al inicio del ejercicio fiscal. Efecto:  Otros Motivos:</t>
    </r>
  </si>
  <si>
    <r>
      <t xml:space="preserve">Número de clubes espejo de contraloria social integrados por el programa
</t>
    </r>
    <r>
      <rPr>
        <sz val="10"/>
        <rFont val="Soberana Sans"/>
        <family val="2"/>
      </rPr>
      <t xml:space="preserve"> Causa : Los Clubes Espejo de Contraloría Social son un tipo de participación de los beneficiarios directos del P3x1 para supervisar y vigilar que las obras y/o proyectos que  reciben se proporcionen de manera clara y transparente, sin retrasos en los tiempos de entrega previstos y con buena calidad. En este sentido existe una relación directa con los proyectos realizados por el Programa, en particular con los de infraestructura social comunitaria.    La naturaleza de los clubes espejo permite que cada club pueda encargarse de dos o más obras,  sin embargo, durante el presente ejercicio fiscal la ubicación de las obras  realizadas (alejadas entre sí) no permitió que estas ventajas pudieran aprovecharse, por lo que fue necesario integrar más clubes espejo que los programados.         Efecto:  Otros Motivos:</t>
    </r>
  </si>
  <si>
    <t>S070</t>
  </si>
  <si>
    <t>Programa de Coinversión Social</t>
  </si>
  <si>
    <t>D00-Instituto Nacional de Desarrollo Social</t>
  </si>
  <si>
    <t>Contribuir al desarrollo de capital social, desde la dimensión de cohesión social, a través del fortalecimiento de Actores Sociales.</t>
  </si>
  <si>
    <r>
      <t>Tasa de cambio del Grado de Cohesión Social</t>
    </r>
    <r>
      <rPr>
        <i/>
        <sz val="10"/>
        <color indexed="30"/>
        <rFont val="Soberana Sans"/>
        <family val="3"/>
      </rPr>
      <t xml:space="preserve">
</t>
    </r>
  </si>
  <si>
    <t>(Grado de Cohesión Social año final - Grado de Cohesión Social año base)/ Grado de Cohesión Social año final</t>
  </si>
  <si>
    <t>Tasa de variación</t>
  </si>
  <si>
    <t>Los Actores Sociales se han fortalecido a través del apoyo a los proyectos de coinversión social</t>
  </si>
  <si>
    <r>
      <t>Porcentaje de Actores Sociales apoyados que invierten en infraestructura o equipamiento</t>
    </r>
    <r>
      <rPr>
        <i/>
        <sz val="10"/>
        <color indexed="30"/>
        <rFont val="Soberana Sans"/>
        <family val="3"/>
      </rPr>
      <t xml:space="preserve">
</t>
    </r>
  </si>
  <si>
    <t>[(Número de Actores Sociales apoyados que realizan inversión en infraestructura o equipamiento ) / (Número de Actores Sociales apoyados)]*100</t>
  </si>
  <si>
    <r>
      <t>Proporción de Actores Sociales apoyados que han incrementado su colaboración con otros Actores Sociales</t>
    </r>
    <r>
      <rPr>
        <i/>
        <sz val="10"/>
        <color indexed="30"/>
        <rFont val="Soberana Sans"/>
        <family val="3"/>
      </rPr>
      <t xml:space="preserve">
</t>
    </r>
  </si>
  <si>
    <t>(Número de Actores Sociales apoyados por el PCS que han incrementado su colaboración con otros Actores Sociales durante el ejercicio fiscal/Número de Actores Sociales apoyados por el PCS)*100</t>
  </si>
  <si>
    <t>A Proyectos, presentados por los Actores Sociales, apoyados en alguna de las tres vertientes que el programa ofrece</t>
  </si>
  <si>
    <r>
      <t xml:space="preserve">Proyectos Apoyados </t>
    </r>
    <r>
      <rPr>
        <i/>
        <sz val="10"/>
        <color indexed="30"/>
        <rFont val="Soberana Sans"/>
        <family val="3"/>
      </rPr>
      <t xml:space="preserve">
Indicador Seleccionado</t>
    </r>
  </si>
  <si>
    <t>Número de proyectos apoyados</t>
  </si>
  <si>
    <r>
      <t>Porcentaje de aportación del Programa destinada a proyectos planteados con Perspectiva de Equidad de Género</t>
    </r>
    <r>
      <rPr>
        <i/>
        <sz val="10"/>
        <color indexed="30"/>
        <rFont val="Soberana Sans"/>
        <family val="3"/>
      </rPr>
      <t xml:space="preserve">
</t>
    </r>
  </si>
  <si>
    <t>[(Monto de recursos aportados por el Programa destinados a proyectos plateados con Perspectiva de Equidad de Género)/(Monto total ejercido en proyectos)]*100</t>
  </si>
  <si>
    <r>
      <t>Porcentaje de proyectos apoyados que inciden en algún municipio con menor Índice de Desarrollo Humano (IDH)</t>
    </r>
    <r>
      <rPr>
        <i/>
        <sz val="10"/>
        <color indexed="30"/>
        <rFont val="Soberana Sans"/>
        <family val="3"/>
      </rPr>
      <t xml:space="preserve">
</t>
    </r>
  </si>
  <si>
    <t>[(Total de proyectos apoyados que inciden en algún municipio con menor Índice de Desarrollo Humano)/(Total de proyectos apoyados)]*100</t>
  </si>
  <si>
    <r>
      <t>Porcentaje de proyectos apoyados que incorporan Perspectiva de Equidad de Género</t>
    </r>
    <r>
      <rPr>
        <i/>
        <sz val="10"/>
        <color indexed="30"/>
        <rFont val="Soberana Sans"/>
        <family val="3"/>
      </rPr>
      <t xml:space="preserve">
</t>
    </r>
  </si>
  <si>
    <t>[(Total de proyectos apoyados que incorporan Perspectiva de Equidad de Género)/(Total de proyectos apoyados)]*100</t>
  </si>
  <si>
    <r>
      <t xml:space="preserve">Porcentaje de proyectos apoyados que inciden en alguna Zona de Atención Prioritaria </t>
    </r>
    <r>
      <rPr>
        <i/>
        <sz val="10"/>
        <color indexed="30"/>
        <rFont val="Soberana Sans"/>
        <family val="3"/>
      </rPr>
      <t xml:space="preserve">
</t>
    </r>
  </si>
  <si>
    <t>[(Total de proyectos apoyados que inciden en alguna Zona de Atención Prioritaria)/(Total de proyectos apoyados)]*100</t>
  </si>
  <si>
    <r>
      <t>Porcentaje de proyectos apoyados a través de la vertiente Promoción del Desarrollo Humano y Social</t>
    </r>
    <r>
      <rPr>
        <i/>
        <sz val="10"/>
        <color indexed="30"/>
        <rFont val="Soberana Sans"/>
        <family val="3"/>
      </rPr>
      <t xml:space="preserve">
</t>
    </r>
  </si>
  <si>
    <t>[(Total de proyectos apoyados en la vertiente de Promoción del Desarrollo Humano y Social)/(Total de proyectos apoyados)]*100</t>
  </si>
  <si>
    <r>
      <t>Porcentaje de proyectos apoyados a través de la vertiente de Fortalecimiento y Profesionalización</t>
    </r>
    <r>
      <rPr>
        <i/>
        <sz val="10"/>
        <color indexed="30"/>
        <rFont val="Soberana Sans"/>
        <family val="3"/>
      </rPr>
      <t xml:space="preserve">
</t>
    </r>
  </si>
  <si>
    <t>[(Total de proyectos apoyados en la vertiente de Fortalecimiento y Profesionalización)/(Total de proyectos apoyados)]*100</t>
  </si>
  <si>
    <r>
      <t>Porcentaje de proyectos apoyados a través de la vertiente de Investigación</t>
    </r>
    <r>
      <rPr>
        <i/>
        <sz val="10"/>
        <color indexed="30"/>
        <rFont val="Soberana Sans"/>
        <family val="3"/>
      </rPr>
      <t xml:space="preserve">
</t>
    </r>
  </si>
  <si>
    <t>[(Total de proyectos apoyados en la vertiente de Investigación)/(Total de proyectos apoyados)]*100</t>
  </si>
  <si>
    <t>A 1 Avance acumulado del presupuesto</t>
  </si>
  <si>
    <r>
      <t xml:space="preserve">Monto de presupuesto ejercido en apoyo a proyectos </t>
    </r>
    <r>
      <rPr>
        <i/>
        <sz val="10"/>
        <color indexed="30"/>
        <rFont val="Soberana Sans"/>
        <family val="3"/>
      </rPr>
      <t xml:space="preserve">
</t>
    </r>
  </si>
  <si>
    <t>Monto del presupuesto ejercido acumulado</t>
  </si>
  <si>
    <t>A 2 Suscripción de instrumento jurídico</t>
  </si>
  <si>
    <r>
      <t>Porcentaje de proyectos con instrumento jurídico suscrito</t>
    </r>
    <r>
      <rPr>
        <i/>
        <sz val="10"/>
        <color indexed="30"/>
        <rFont val="Soberana Sans"/>
        <family val="3"/>
      </rPr>
      <t xml:space="preserve">
</t>
    </r>
  </si>
  <si>
    <t xml:space="preserve"> [(Total de proyectos con instrumento jurídico suscrito)/( Total de Proyectos dictaminados elegibles)]*100</t>
  </si>
  <si>
    <t>A 3 Recepción de proyectos</t>
  </si>
  <si>
    <r>
      <t>Porcentaje de proyectos recibidos completos.</t>
    </r>
    <r>
      <rPr>
        <i/>
        <sz val="10"/>
        <color indexed="30"/>
        <rFont val="Soberana Sans"/>
        <family val="3"/>
      </rPr>
      <t xml:space="preserve">
</t>
    </r>
  </si>
  <si>
    <t>[(Total de proyectos recibidos completos)/(Total de Proyectos recibidos)]*100</t>
  </si>
  <si>
    <t>A 4 Dictaminación de Proyectos</t>
  </si>
  <si>
    <r>
      <t>Porcentaje de proyectos dictaminados</t>
    </r>
    <r>
      <rPr>
        <i/>
        <sz val="10"/>
        <color indexed="30"/>
        <rFont val="Soberana Sans"/>
        <family val="3"/>
      </rPr>
      <t xml:space="preserve">
</t>
    </r>
  </si>
  <si>
    <t>[(Total de proyectos dictaminados)/(Total de Proyectos recibidos completos)]*100</t>
  </si>
  <si>
    <t>A 5 Otorgar apoyo económico a Actores Sociales</t>
  </si>
  <si>
    <r>
      <t>Porcentaje de actores sociales que reciben apoyo económico</t>
    </r>
    <r>
      <rPr>
        <i/>
        <sz val="10"/>
        <color indexed="30"/>
        <rFont val="Soberana Sans"/>
        <family val="3"/>
      </rPr>
      <t xml:space="preserve">
</t>
    </r>
  </si>
  <si>
    <t xml:space="preserve"> [(Total de actores sociales que reciben apoyo económico)/( Total de actores sociales con proyectos dictaminados elegibles )]*100</t>
  </si>
  <si>
    <t>A 6 Capacitación para la ejecución de los Proyectos</t>
  </si>
  <si>
    <r>
      <t>Porcentaje de actores sociales que reciben capacitación para la ejecución de su proyecto</t>
    </r>
    <r>
      <rPr>
        <i/>
        <sz val="10"/>
        <color indexed="30"/>
        <rFont val="Soberana Sans"/>
        <family val="3"/>
      </rPr>
      <t xml:space="preserve">
</t>
    </r>
  </si>
  <si>
    <t>[(Total de actores sociales apoyados que son capacitados para la ejecución de su proyecto)/(total de actores sociales apoyados)]*100</t>
  </si>
  <si>
    <t>A 7 Promoción de convocatorias</t>
  </si>
  <si>
    <r>
      <t>Promoción de las convocatorias</t>
    </r>
    <r>
      <rPr>
        <i/>
        <sz val="10"/>
        <color indexed="30"/>
        <rFont val="Soberana Sans"/>
        <family val="3"/>
      </rPr>
      <t xml:space="preserve">
</t>
    </r>
  </si>
  <si>
    <t>Número de medios ocupados en la promoción de las convocatorias</t>
  </si>
  <si>
    <t>Publicación</t>
  </si>
  <si>
    <r>
      <t xml:space="preserve">Porcentaje de Actores Sociales apoyados que invierten en infraestructura o equipamiento
</t>
    </r>
    <r>
      <rPr>
        <sz val="10"/>
        <rFont val="Soberana Sans"/>
        <family val="2"/>
      </rPr>
      <t xml:space="preserve"> Causa : El resultado de este indicador es preliminar toda vez que de acuerdo a las reglas de operación del programa numeral 4.2.12. el periodo de entrega de los reportes finales de los AREP aún está vigente. Los AREP tienen como plazo el 22 de enero de 2014 para la entrega de sus reportes finales 2013, mismos que servirán para extraer la información necesaria para complementar los datos del presente indicador.   Con respecto a la observación de la UPCP: El Programa de Coinversión Social es un programa que  atiende a la demanda de los actores sociales para recibir apoyos económico para la ejecución de proyectos, por tanto al no conocer el universo de proyectos que serán presentados, la programación de metas se realiza con base en información histórica del comportamiento de las variables, y con base en ello se establece el valor de la metas del indicador, representado en proporciones el numerador y el denominador.    Por otra parte, es importante mencionar que en el presente ejercicio fiscal el programa tuvo un incremento en el número de proyectos recibidos, situación que impactó en el desempeño de algunos indicadores. Efecto:  Otros Motivos:</t>
    </r>
  </si>
  <si>
    <r>
      <t xml:space="preserve">Proporción de Actores Sociales apoyados que han incrementado su colaboración con otros Actores Sociales
</t>
    </r>
    <r>
      <rPr>
        <sz val="10"/>
        <rFont val="Soberana Sans"/>
        <family val="2"/>
      </rPr>
      <t xml:space="preserve"> Causa : Respuesta a la observaciones de la UPCP: La afluencia a los eventos de vinculación que el Programa de Coinversión Social promueve depende del interés de los Actores sociales en participar. Las invitaciones a los eventos se envían a los correos electrónicos registrados por los Actores sociales mismos que en diversas ocasiones están desactualizados. Efecto:  Otros Motivos:</t>
    </r>
  </si>
  <si>
    <r>
      <t xml:space="preserve">Proyectos Apoyados 
</t>
    </r>
    <r>
      <rPr>
        <sz val="10"/>
        <rFont val="Soberana Sans"/>
        <family val="2"/>
      </rPr>
      <t xml:space="preserve"> Causa : El Programa de Coinversión Social (PCS) otorga recursos públicos concursables, es decir atiende a la demanda de los Actores Sociales para el desarrollo de proyectos, en razón de lo anterior, la estimación de las metas de cada uno de los indicadores se realiza con base en el comportamiento histórico de las variables.  Efecto: La diferencia entre la meta planeada y el desempeño del indicador, obedece a que el Programa de Coinversión Social logró realizar cuatro acuerdos de coinversión en los estados de Yucatán, Jalisco, Morelos y Guanajuato; la convocatoria de Conversión Social para el Bienestar Social en el Estado de Yucatán (BS), la convocatoria de Desarrollo Integral y Bienestar con participación comunitaria en el estado de Jalisco (DJ), la convocatoria de Capacitación a grupos del Programa de Apoyo a Proyectos Productivos para Jefas de Familia: Empresas de la Mujer Morelense (EM) y la convocatoria León es uno a favor de la calidad de vida (LC); lo que contribuyó a incrementar el número de proyectos apoyados, en una proporción de aproximada de 4 puntos porcentuales. Otros Motivos:</t>
    </r>
  </si>
  <si>
    <r>
      <t xml:space="preserve">Porcentaje de aportación del Programa destinada a proyectos planteados con Perspectiva de Equidad de Género
</t>
    </r>
    <r>
      <rPr>
        <sz val="10"/>
        <rFont val="Soberana Sans"/>
        <family val="2"/>
      </rPr>
      <t xml:space="preserve"> Causa : Respuesta a la observaciones de la UPCP: Los datos que nutren el presente indicador están expresados en millones de pesos. Al tomar las cifras reales la ecuación se presenta de la siguiente forma: 74911178.5/290530006=25.8 de allí las variaciones en la fórmula. Se deja el porcentaje original.  Efecto:  Otros Motivos:</t>
    </r>
  </si>
  <si>
    <r>
      <t xml:space="preserve">Porcentaje de proyectos apoyados que incorporan Perspectiva de Equidad de Género
</t>
    </r>
    <r>
      <rPr>
        <sz val="10"/>
        <rFont val="Soberana Sans"/>
        <family val="2"/>
      </rPr>
      <t xml:space="preserve"> Causa : Este indicador sobrepasa la meta en 3.4% debido a que en 2013 mayor número de proyectos incorporan la perspectiva de equidad de género. Efecto:  Otros Motivos:</t>
    </r>
  </si>
  <si>
    <r>
      <t xml:space="preserve">Porcentaje de proyectos apoyados que inciden en alguna Zona de Atención Prioritaria 
</t>
    </r>
    <r>
      <rPr>
        <sz val="10"/>
        <rFont val="Soberana Sans"/>
        <family val="2"/>
      </rPr>
      <t xml:space="preserve"> Causa : Con respecto a la observación de la UPCP: Debido a que el desempeño del Programa de Coinversión Social está en función de la demanda de los Actores sociales y de las prioridades que los actores sociales establezcan en sus proyectos, para realizar proyectos en algunas zonas geográficas, en el ejercicio fiscal 2013 un menor número de los proyectos reportaron tener incidencia en alguna de las Zonas de Atención Prioritaria, situación que afecto el desempeño del indicador.   Es importante mencionar que las metas de los indicadores se programan en función del comportamiento histórico de las variables.   Efecto:  Otros Motivos:</t>
    </r>
  </si>
  <si>
    <r>
      <t xml:space="preserve">Porcentaje de proyectos apoyados a través de la vertiente Promoción del Desarrollo Humano y Social
</t>
    </r>
    <r>
      <rPr>
        <sz val="10"/>
        <rFont val="Soberana Sans"/>
        <family val="2"/>
      </rPr>
      <t xml:space="preserve"> Causa : El Programa de Coinversión Social (PCS) otorga recursos públicos concursables, es decir atiende a la demanda de los Actores Sociales para el desarrollo de proyectos, en razón de lo anterior, la estimación de las metas de cada uno de los indicadores, durante el proceso de planeación se realiza con base en el comportamiento histórico de las variables; sin embargo, al desconocer el valor de la variable del denominador ¿Total de proyectos apoyados¿, se asume como supuesto que corresponde a 100 por ciento, el cual será sustituido al momento de reportar el avance logrado.       Para reportar, en este caso el denominador se sustituyó por el valor de la meta aprobada igual a 1,300 y el numerador se sustituyó por el valor real, igual a 1176. Esta operación corresponde a la definición del método de cálculo del indicador.           Efecto: El cumplimento de la meta de este indicador, obedece a que aproximadamente 16 por ciento más de los proyectos apoyados fueron inscritos en la vertiente de Promoción del Desarrollo Humano y Social. Otros Motivos:"El  valor de la meta aprobada y modificadaes relativo,se define con base en el comportamiento históricode las variables, y se establece de esta manera debido a que el Programa de Coinversión Social es un programa que atiende a la demanda por parte de los actores sociales, por tanto el universo de apoyos que se otorgarán no es conocido. Este valor se sustituye con los valores reales, en el reporte de la meta alcanzada conforme lo indica el método de cálculo".   </t>
    </r>
  </si>
  <si>
    <r>
      <t xml:space="preserve">Porcentaje de proyectos apoyados a través de la vertiente de Fortalecimiento y Profesionalización
</t>
    </r>
    <r>
      <rPr>
        <sz val="10"/>
        <rFont val="Soberana Sans"/>
        <family val="2"/>
      </rPr>
      <t xml:space="preserve"> Causa : El comportamiento de este indicador obedece a la demanda de apoyos de los Actores sociales por la vertiente Fortalecimiento y Profesionalización que, para el año 2013, fue inferior a lo estimado en 6.2%.   Efecto:  Otros Motivos:</t>
    </r>
  </si>
  <si>
    <r>
      <t xml:space="preserve">Porcentaje de proyectos apoyados a través de la vertiente de Investigación
</t>
    </r>
    <r>
      <rPr>
        <sz val="10"/>
        <rFont val="Soberana Sans"/>
        <family val="2"/>
      </rPr>
      <t xml:space="preserve"> Causa : El comportamiento de este indicador obedece a la demanda de apoyos de los Actores sociales por la vertiente Investigación que, para el año 2013, fue inferior a lo estimado en 2.5%.   Efecto:  Otros Motivos:</t>
    </r>
  </si>
  <si>
    <r>
      <t xml:space="preserve">Monto de presupuesto ejercido en apoyo a proyectos 
</t>
    </r>
    <r>
      <rPr>
        <sz val="10"/>
        <rFont val="Soberana Sans"/>
        <family val="2"/>
      </rPr>
      <t xml:space="preserve"> Causa : Las cifras son preliminares al 31 de diciembre de 2013, con la finalidad de que se de seguimiento y cumplimiento a los lineamientos.     La diferencia entre la meta programada y el resultado logrado, obedece a dos situaciones: la primera, por reintegros de recurso que realizaron los actores sociales por concepto de presupuesto no ejercido en los proyectos apoyados y la segunda, por la retención del pago de la segunda ministración de recursos a 21 actores sociales, por causas de incumplimientos.  Efecto:  Otros Motivos:Cabe mencionar, que de acuerdo a una comunicación que envío la Dirección General de Programación y Presupuesto de la SEDESOL, el día 25 de febrero de 2014, mediante correo electrónico gerardo.aguilar@sedesol.gob.mx: La Secretaria de Hacienda y Crédito Público no ha emitido las cifras definitivas del Cierre Ejercicio Fiscal 2013.</t>
    </r>
  </si>
  <si>
    <r>
      <t xml:space="preserve">Porcentaje de proyectos con instrumento jurídico suscrito
</t>
    </r>
    <r>
      <rPr>
        <sz val="10"/>
        <rFont val="Soberana Sans"/>
        <family val="2"/>
      </rPr>
      <t xml:space="preserve"> Causa : El Programa de Coinversión Social (PCS) otorga recursos públicos concursables, es decir atiende a la demanda de los Actores Sociales para el desarrollo de proyectos, en razón de lo anterior, la estimación de las metas de cada uno de los indicadores se realiza con base en el comportamiento histórico de las variables.  Efecto: La firma de instrumento jurídico guarda relación con la suficiencia presupuestal. De allí que el programa cuente con gran número de proyectos dictaminados elegibles que no están en posibilidad de recibir apoyo debido a la falta de presupuesto.  Otros Motivos:</t>
    </r>
  </si>
  <si>
    <r>
      <t xml:space="preserve">Porcentaje de proyectos recibidos completos.
</t>
    </r>
    <r>
      <rPr>
        <sz val="10"/>
        <rFont val="Soberana Sans"/>
        <family val="2"/>
      </rPr>
      <t xml:space="preserve"> Causa : El Programa de Coinversión Social (PCS) otorga recursos públicos concursables, es decir atiende a la demanda de los Actores Sociales para el desarrollo de proyectos, en razón de lo anterior, la estimación de las metas de cada uno de los indicadores se realiza con base en el comportamiento histórico de las variables Efecto: El presente indicador mide la proporción de actores sociales que presentan proyectos y cuentan con el estatus de recepción completa, conforme los previsto en las Reglas de Operación del Programa 2013, numeral 4.2.2 De la recepción de los proyectos.     El porcentaje de cumplimiento de la meta de la estuvo muy cercano a lo proyectado.  Otros Motivos:</t>
    </r>
  </si>
  <si>
    <r>
      <t xml:space="preserve">Porcentaje de proyectos dictaminados
</t>
    </r>
    <r>
      <rPr>
        <sz val="10"/>
        <rFont val="Soberana Sans"/>
        <family val="2"/>
      </rPr>
      <t xml:space="preserve"> Causa : El Programa de Coinversión Social es un programa que  atiende a la demanda de los actores sociales de recibir apoyos económicos para la ejecución de proyectos, por tanto al no conocer el universo de proyectos que serán presentados, la programación de metas se realiza con base en información histórica del comportamiento de las variables.  Efecto: El Cumplimiento de la Meta del indicador presentó una diferencia muy cercana respecto de lo estimado, toda vez existió un incremento en el número de proyectos recibidos, situación que impactó en el desempeño del indicador. Otros Motivos:</t>
    </r>
  </si>
  <si>
    <r>
      <t xml:space="preserve">Porcentaje de actores sociales que reciben apoyo económico
</t>
    </r>
    <r>
      <rPr>
        <sz val="10"/>
        <rFont val="Soberana Sans"/>
        <family val="2"/>
      </rPr>
      <t xml:space="preserve"> Causa : El Programa de Coinversión Social (PCS) otorga recursos públicos concursables, es decir atiende a la demanda de los Actores Sociales para el desarrollo de proyectos, en razón de lo anterior, la estimación de las metas de cada uno de los indicadores se realiza con base en el comportamiento histórico de las variables.  Efecto: En 2013 se presentaron gran cantidad de proyectos dictaminados elegibles sin embargo, debido a la suficiencia presupuestal, sólo pudieron ser apoyados un número conservador de Actores Sociales.   Otros Motivos:</t>
    </r>
  </si>
  <si>
    <r>
      <t xml:space="preserve">Porcentaje de actores sociales que reciben capacitación para la ejecución de su proyecto
</t>
    </r>
    <r>
      <rPr>
        <sz val="10"/>
        <rFont val="Soberana Sans"/>
        <family val="2"/>
      </rPr>
      <t xml:space="preserve"> Causa : El Programa de Coinversión Social (PCS) otorga recursos públicos concursables, es decir atiende a la demanda de los Actores Sociales para el desarrollo de proyectos, en razón de lo anterior, la estimación de las metas de cada uno de los indicadores se realiza con base en el comportamiento histórico de las variables.  Efecto: El desempeño del indicador se encuentra en función del interés de los actores sociales por asistir a las capacitaciones que brinda el Programa de Coinversión Social. Las invitaciones a los eventos se envían a los correos electrónicos registrados por los Actores sociales mismos que en diversas ocasiones están desactualizados.     El porcentaje de cumplimiento de la meta la estuvo muy cercano a lo proyectado. Otros Motivos:</t>
    </r>
  </si>
  <si>
    <r>
      <t xml:space="preserve">Promoción de las convocatorias
</t>
    </r>
    <r>
      <rPr>
        <sz val="10"/>
        <rFont val="Soberana Sans"/>
        <family val="2"/>
      </rPr>
      <t xml:space="preserve"> Causa : Con el fin de hacer un ejercicio extensivo de promoción de las convocatorias del Programa de Coinversión Social se diversificaron los medios de difusión tanto a Nivel Central, como en las Delegaciones de la Sedesol, entre ellos Facebook, Twitter, página web de Indesol, periódico la Razón, Diario Oficial de la Federación y capacitaciones a las Organizaciones de la Sociedad Civil, Instituciones de Educación Superior y Centros de Investigación (38 sesiones nivel central y 169 sesiones a nivel delegaciones), con el propósito de ampliar la cobertura de la promoción de las mismas. Efecto:  Otros Motivos:</t>
    </r>
  </si>
  <si>
    <t>S071</t>
  </si>
  <si>
    <t>Programa de Empleo Temporal (PET)</t>
  </si>
  <si>
    <t>213-Dirección General de Atención a Grupos Prioritarios</t>
  </si>
  <si>
    <t>Contribuir al bienestar económico de la población afectada por emergencias y otras situaciones adversas que generan la disminución de sus ingresos mediante apoyos otorgados por su participación en proyectos de beneficio social y comunitario.</t>
  </si>
  <si>
    <r>
      <t>Porcentaje de los apoyos económicos recibidos por la participación en proyectos de beneficio social y comunitario destinado a la adquisición de alimentos</t>
    </r>
    <r>
      <rPr>
        <i/>
        <sz val="10"/>
        <color indexed="30"/>
        <rFont val="Soberana Sans"/>
        <family val="3"/>
      </rPr>
      <t xml:space="preserve">
</t>
    </r>
  </si>
  <si>
    <t xml:space="preserve">(Ingreso recibido mediante jornales por la participación en proyectos de beneficio familiar o comunitario destinado a la adquisición de alimentos/Ingreso total recibido mediante jornales por la participación en proyectos de beneficio familiar o comunitario)*100  </t>
  </si>
  <si>
    <t>Hombres y mujeres de 16 años de edad o más reciben temporalmente apoyos económicos directos para afrontar los efectos negativos generados por emergencias o situaciones económicas que provocan disminuciones de sus ingresos, como contraprestación por su participación en proyectos de beneficio familiar o comunitario</t>
  </si>
  <si>
    <r>
      <t xml:space="preserve">Número de beneficiarios del Programa </t>
    </r>
    <r>
      <rPr>
        <i/>
        <sz val="10"/>
        <color indexed="30"/>
        <rFont val="Soberana Sans"/>
        <family val="3"/>
      </rPr>
      <t xml:space="preserve">
Indicador Seleccionado</t>
    </r>
  </si>
  <si>
    <t>(Número de beneficiarios registrados en el Programa en el Sistema de Informaciòn correspondiente</t>
  </si>
  <si>
    <r>
      <t>Demanda atendida por el programa</t>
    </r>
    <r>
      <rPr>
        <i/>
        <sz val="10"/>
        <color indexed="30"/>
        <rFont val="Soberana Sans"/>
        <family val="3"/>
      </rPr>
      <t xml:space="preserve">
</t>
    </r>
  </si>
  <si>
    <t>(Número de personas beneficiadas por algún proyecto del PET Normal / Total de personas en búsqueda de ocupación) * 100</t>
  </si>
  <si>
    <t>A Apoyo económico entregado al Beneficiario</t>
  </si>
  <si>
    <r>
      <t xml:space="preserve">Jornales entregados </t>
    </r>
    <r>
      <rPr>
        <i/>
        <sz val="10"/>
        <color indexed="30"/>
        <rFont val="Soberana Sans"/>
        <family val="3"/>
      </rPr>
      <t xml:space="preserve">
Indicador Seleccionado</t>
    </r>
  </si>
  <si>
    <t xml:space="preserve">Nùmero de jornales entregados de acuerdo con los Sistemmas de Informaciòn correspondientes </t>
  </si>
  <si>
    <t>Jornal</t>
  </si>
  <si>
    <r>
      <t>Promedio de días para intervenir ante la declaratoria de desastres</t>
    </r>
    <r>
      <rPr>
        <i/>
        <sz val="10"/>
        <color indexed="30"/>
        <rFont val="Soberana Sans"/>
        <family val="3"/>
      </rPr>
      <t xml:space="preserve">
</t>
    </r>
  </si>
  <si>
    <t>Reporta el promedio de días en los que el Programa atiende a la población afectada por una emergencia, a partir de la declaratoria de desastre por parte de la Secretaría de Gobernación.</t>
  </si>
  <si>
    <t>Día</t>
  </si>
  <si>
    <t>Estratégico-Eficiencia-Anual</t>
  </si>
  <si>
    <t>B Apoyo entregados para la ejecución de proyectos</t>
  </si>
  <si>
    <r>
      <t>Proyectos apoyados</t>
    </r>
    <r>
      <rPr>
        <i/>
        <sz val="10"/>
        <color indexed="30"/>
        <rFont val="Soberana Sans"/>
        <family val="3"/>
      </rPr>
      <t xml:space="preserve">
Indicador Seleccionado</t>
    </r>
  </si>
  <si>
    <t>Número de proyectos apoyados mediante la modalidad de PET Normal con recursos financieros para la adquisisción o arrendamiento de herramientas, materiales o equipo así como costos de transporte</t>
  </si>
  <si>
    <t>null1 Entrega de apoyos y definición de focalización y cobertura de proyectos (transversal)</t>
  </si>
  <si>
    <r>
      <t>Promedio de jornales por beneficiario en PET normal</t>
    </r>
    <r>
      <rPr>
        <i/>
        <sz val="10"/>
        <color indexed="30"/>
        <rFont val="Soberana Sans"/>
        <family val="3"/>
      </rPr>
      <t xml:space="preserve">
</t>
    </r>
  </si>
  <si>
    <t>(Total de jornales entregados a los beneficiarios como contraprestación por su participación en proyectos de PET normal en beneficio familiar o comunitario / Número de participantes en proyectos de beneficio familiar o comunitario en la modalidad de PET normal)</t>
  </si>
  <si>
    <r>
      <t>Cobertura de PET Normal en Municipios de Muy Alta, Alta o Media Maginación</t>
    </r>
    <r>
      <rPr>
        <i/>
        <sz val="10"/>
        <color indexed="30"/>
        <rFont val="Soberana Sans"/>
        <family val="3"/>
      </rPr>
      <t xml:space="preserve">
</t>
    </r>
  </si>
  <si>
    <t>(Número de Municipios de Muy Alta, Alta o Media Marginación con al menos un proyecto ejecutado en beneficio familiar o comunitario en la modalidad de PET Normal / Total de Municipios de Muy Alta, Alta o Media Marginación en el país.)*100</t>
  </si>
  <si>
    <r>
      <t>Cobertura de PET Normal en Municipios con Alta Pérdida de Empleo</t>
    </r>
    <r>
      <rPr>
        <i/>
        <sz val="10"/>
        <color indexed="30"/>
        <rFont val="Soberana Sans"/>
        <family val="3"/>
      </rPr>
      <t xml:space="preserve">
</t>
    </r>
  </si>
  <si>
    <t>Número de Municipios con Alta Pérdida de Empleo con al menos un proyecto ejecutado en beneficio familiar o comunitario apoyado por el Programa en su modalidad de PET Normal escalados a 100/Total de Municipios autorizados por la Secretaría del Trabajo y Previsión Social (STPS) escalados a 100</t>
  </si>
  <si>
    <t>null2 Formalización  de gestores voluntarios</t>
  </si>
  <si>
    <r>
      <t>Gestores voluntarios</t>
    </r>
    <r>
      <rPr>
        <i/>
        <sz val="10"/>
        <color indexed="30"/>
        <rFont val="Soberana Sans"/>
        <family val="3"/>
      </rPr>
      <t xml:space="preserve">
</t>
    </r>
  </si>
  <si>
    <t>Número de gestores voluntarios formalizados más electos en la Red Social</t>
  </si>
  <si>
    <t>Gestores</t>
  </si>
  <si>
    <r>
      <t xml:space="preserve">Número de beneficiarios del Programa 
</t>
    </r>
    <r>
      <rPr>
        <sz val="10"/>
        <rFont val="Soberana Sans"/>
        <family val="2"/>
      </rPr>
      <t xml:space="preserve"> Causa : sin justificacion por encontrarse en el rango establecido. Efecto: . Otros Motivos:.</t>
    </r>
  </si>
  <si>
    <r>
      <t xml:space="preserve">Demanda atendida por el programa
</t>
    </r>
    <r>
      <rPr>
        <sz val="10"/>
        <rFont val="Soberana Sans"/>
        <family val="2"/>
      </rPr>
      <t xml:space="preserve"> Causa : Sin justificación por encontrarse dentro del rango Efecto: . Otros Motivos:.</t>
    </r>
  </si>
  <si>
    <r>
      <t xml:space="preserve">Jornales entregados 
</t>
    </r>
    <r>
      <rPr>
        <sz val="10"/>
        <rFont val="Soberana Sans"/>
        <family val="2"/>
      </rPr>
      <t xml:space="preserve"> Causa : Sin justificación por encontrarse en el rango establecido. Efecto: . Otros Motivos:.</t>
    </r>
  </si>
  <si>
    <r>
      <t xml:space="preserve">Promedio de días para intervenir ante la declaratoria de desastres
</t>
    </r>
    <r>
      <rPr>
        <sz val="10"/>
        <rFont val="Soberana Sans"/>
        <family val="2"/>
      </rPr>
      <t xml:space="preserve"> Causa : sin justificacion por encontrarse en el rango establecido. Efecto: . Otros Motivos:.</t>
    </r>
  </si>
  <si>
    <r>
      <t xml:space="preserve">Proyectos apoyados
</t>
    </r>
    <r>
      <rPr>
        <sz val="10"/>
        <rFont val="Soberana Sans"/>
        <family val="2"/>
      </rPr>
      <t xml:space="preserve"> Causa : Debido a una reducción presupuestal respecto de los recursos asignados originalmente al Programa, no fue posible alcanzar la meta. Efecto: . Otros Motivos:.</t>
    </r>
  </si>
  <si>
    <r>
      <t xml:space="preserve">Promedio de jornales por beneficiario en PET normal
</t>
    </r>
    <r>
      <rPr>
        <sz val="10"/>
        <rFont val="Soberana Sans"/>
        <family val="2"/>
      </rPr>
      <t xml:space="preserve"> Causa : En la propuesta de autorización  y  ejecución de los proyectos, se planeó que  se realizará en un tiempo promedio de 5 semanas, dado que no había suficiente personal para levantar las CUIS, el tiempo de ejecución se redujo a la mitad de lo planeado, por lo tanto se previo entregar el doble de jornales por beneficiario. A ello contribuyó la veda electoral que  impidió ejecutar los proyectos en el tiempo previsto. Efecto:  Variaciones en metas de jornales promedio por beneficiario debido a la reducción en el tiempo de ejecución  de los proyectos, provocando que los jornales promedio fueran inferiores a lo programado. Otros Motivos:.</t>
    </r>
  </si>
  <si>
    <r>
      <t xml:space="preserve">Cobertura de PET Normal en Municipios de Muy Alta, Alta o Media Maginación
</t>
    </r>
    <r>
      <rPr>
        <sz val="10"/>
        <rFont val="Soberana Sans"/>
        <family val="2"/>
      </rPr>
      <t xml:space="preserve"> Causa : Sin justificación por encontrarse en el rango establecido. Efecto: . Otros Motivos:.</t>
    </r>
  </si>
  <si>
    <r>
      <t xml:space="preserve">Cobertura de PET Normal en Municipios con Alta Pérdida de Empleo
</t>
    </r>
    <r>
      <rPr>
        <sz val="10"/>
        <rFont val="Soberana Sans"/>
        <family val="2"/>
      </rPr>
      <t xml:space="preserve"> Causa : Durante el ejercicio fiscal 2013, ante una mayor demanda de desocupación laboral, la cobertura se extendio en 33 municipos más de lo planeado Efecto: . Otros Motivos:.</t>
    </r>
  </si>
  <si>
    <r>
      <t xml:space="preserve">Gestores voluntarios
</t>
    </r>
    <r>
      <rPr>
        <sz val="10"/>
        <rFont val="Soberana Sans"/>
        <family val="2"/>
      </rPr>
      <t xml:space="preserve"> Causa : Durante el primer trimestre del año, las actividades de la red social fueron afectadas debido a la falta de recursos y de la tardía publicación de las Reglas de Operación de los Programas que maneja la DGAGP. En el segundo trimestre, las restricciones marcadas por el Programa de Blindaje Electoral de la SEDESOL, obligaron a la re-calendarización y ajuste de la meta para el segundo semestre. Posteriormente las actividades se vieron afectadas por  la alta rotación de personal en las delegaciones y falta de capacitación del mismo.  Efecto: Disminución en el número de gestores voluntarios alcanzados. Otros Motivos:.</t>
    </r>
  </si>
  <si>
    <t>S072</t>
  </si>
  <si>
    <t>Programa de Desarrollo Humano Oportunidades</t>
  </si>
  <si>
    <t>G00-Coordinación Nacional del Programa de Desarrollo Humano Oportunidades</t>
  </si>
  <si>
    <t>Contribuir a la ruptura del ciclo intergeneracional de la pobreza, favoreciendo el desarrollo de las capacidades asociadas a la alimentación, salud y educación de las familias beneficiarias del Programa.</t>
  </si>
  <si>
    <r>
      <t>Comparación de la diferencia en la escolaridad promedio entre padres e hijos de familias beneficiarias, respecto a la misma diferencia en la población nacional.</t>
    </r>
    <r>
      <rPr>
        <i/>
        <sz val="10"/>
        <color indexed="30"/>
        <rFont val="Soberana Sans"/>
        <family val="3"/>
      </rPr>
      <t xml:space="preserve">
</t>
    </r>
  </si>
  <si>
    <t>[Promedio de grados de escolaridad de los hijos de 20 años de las familiasOportunidades en el año t - Promedio de grados de escolaridad de los padres de familia, con hijos de 20 años, beneficiarios de Oportunidades en el año t] - [Promedio de grados de escolaridad de los jóvenes de 20 años en el año t - (suma del producto de la proporción de la población en la edad e incluida en el rango de edad de los padres en el año t * proporción de la población en cada edad e contenida en el rango de edad de los padres, correspondiente al sexo masculino o femenino en el año t) * (promedio de grados de escolaridad de los padres, hombres o mujeres, en la edad e incluida en el rango deedad de los padres en el año t )].</t>
  </si>
  <si>
    <t>Años de escolaridad</t>
  </si>
  <si>
    <t>Las familias en pobreza beneficiarias de Oportunidades amplían sus capacidades de alimentación, salud y educación.</t>
  </si>
  <si>
    <r>
      <t>Porcentaje de becarios de secundaria que transitan a educación media superior.</t>
    </r>
    <r>
      <rPr>
        <i/>
        <sz val="10"/>
        <color indexed="30"/>
        <rFont val="Soberana Sans"/>
        <family val="3"/>
      </rPr>
      <t xml:space="preserve">
</t>
    </r>
  </si>
  <si>
    <t>(Becarios de secundaria en Oportunidades inscritos en educación media superior / Becarios de tercero de secundaria en Oportunidades  activos en el ciclo anterior) x 100.</t>
  </si>
  <si>
    <r>
      <t>Prevalencia de anemia en mujeres de 12 a 49 años de edad embarazadas y beneficiarias del Programa Oportunidades</t>
    </r>
    <r>
      <rPr>
        <i/>
        <sz val="10"/>
        <color indexed="30"/>
        <rFont val="Soberana Sans"/>
        <family val="3"/>
      </rPr>
      <t xml:space="preserve">
</t>
    </r>
  </si>
  <si>
    <t>(Número de mujeres beneficiarias entre 12 y 49 años de edad que están embarazadas y registraron una concentración de hemoglobina menor a 110 g/L / Total de mujeres beneficiarias entre 12 y 49 años de edad que están embarazadas y participan en la encuesta) * 100</t>
  </si>
  <si>
    <t>Estratégico-Eficacia-Sexenal</t>
  </si>
  <si>
    <r>
      <t>Porcentaje de becarios de primaria que transitan a secundaria.</t>
    </r>
    <r>
      <rPr>
        <i/>
        <sz val="10"/>
        <color indexed="30"/>
        <rFont val="Soberana Sans"/>
        <family val="3"/>
      </rPr>
      <t xml:space="preserve">
</t>
    </r>
  </si>
  <si>
    <t>(Número de becarios de primaria  en Oportunidades inscritos al siguiente nivel / Número total de becarios de primaria en Oportunidades  inscritos en sexto grado al cierre del ciclo anterior)  x 100.</t>
  </si>
  <si>
    <r>
      <t>Porcentaje de terminación de educación básica de los jóvenes beneficiarios de Oportunidades.</t>
    </r>
    <r>
      <rPr>
        <i/>
        <sz val="10"/>
        <color indexed="30"/>
        <rFont val="Soberana Sans"/>
        <family val="3"/>
      </rPr>
      <t xml:space="preserve">
</t>
    </r>
  </si>
  <si>
    <t>(Becarios egresados de secundaria /Total de la población beneficiaria de Oportunidades con 15 años de edad) x 100</t>
  </si>
  <si>
    <r>
      <t>Tasa de becarias en educación media superior con respecto a la composición por sexo de la matricula nacional.</t>
    </r>
    <r>
      <rPr>
        <i/>
        <sz val="10"/>
        <color indexed="30"/>
        <rFont val="Soberana Sans"/>
        <family val="3"/>
      </rPr>
      <t xml:space="preserve">
</t>
    </r>
  </si>
  <si>
    <t>[(Becarias de educación media superior registradas en Oportunidades / Total de becarios de educación media superior registrados en Oportunidades) / (Alumnas registradas en educación media superior a nivel nacional / Total de alumnos de educación media superior a nivel nacional)-1] x 100</t>
  </si>
  <si>
    <r>
      <t>Prevalencia de desnutrición crónica infantil, entendida como baja talla para la edad, de la población beneficiaria de Oportunidades.</t>
    </r>
    <r>
      <rPr>
        <i/>
        <sz val="10"/>
        <color indexed="30"/>
        <rFont val="Soberana Sans"/>
        <family val="3"/>
      </rPr>
      <t xml:space="preserve">
</t>
    </r>
  </si>
  <si>
    <t xml:space="preserve">(Niños de 0 a 59 meses con puntaje Z de talla para la edad menor a dos desviaciones estándares de la referencia en los hogares participantes en la encuesta) / (Total de niños de 0 a 59 meses en los hogares beneficiarios participantes en la encuesta) x 100. </t>
  </si>
  <si>
    <r>
      <t>Tasa de becarias en educación básica con respecto a la composición por sexo de la matricula nacional.</t>
    </r>
    <r>
      <rPr>
        <i/>
        <sz val="10"/>
        <color indexed="30"/>
        <rFont val="Soberana Sans"/>
        <family val="3"/>
      </rPr>
      <t xml:space="preserve">
</t>
    </r>
  </si>
  <si>
    <t>[(Becarias de educación básica registradas en Oportunidades / Total de becarios de educación básica registrados en Oportunidades) / (Alumnas registradas en educación básica a nivel nacional / Total de alumnos de educación básica a nivel nacional) -1] x 100.</t>
  </si>
  <si>
    <t>A Familias beneficiarias con niños y jóvenes que cumplieron su corresponsabilidad en educación básica y media superior con apoyos educativos emitidos.</t>
  </si>
  <si>
    <r>
      <t>Porcentaje de becarios de educación básica a los que se les emitieron los apoyos monetarios de becas educativas.</t>
    </r>
    <r>
      <rPr>
        <i/>
        <sz val="10"/>
        <color indexed="30"/>
        <rFont val="Soberana Sans"/>
        <family val="3"/>
      </rPr>
      <t xml:space="preserve">
</t>
    </r>
  </si>
  <si>
    <t>[((Becarios de educación básica a los que se les transfirió el apoyo monetario de becas el mes 1 + Becarios de educación básica a los que se les transfirió el apoyo monetario de becas el mes 2) *1/2) / (Becarios de educación básica activos  en el bimestre)] x 100</t>
  </si>
  <si>
    <r>
      <t>Porcentaje de becarios de educación media superior a los que se les emitieron los apoyos monetarios de becas educativas.</t>
    </r>
    <r>
      <rPr>
        <i/>
        <sz val="10"/>
        <color indexed="30"/>
        <rFont val="Soberana Sans"/>
        <family val="3"/>
      </rPr>
      <t xml:space="preserve">
</t>
    </r>
  </si>
  <si>
    <t>[((Becarios de educación media superior a los que se les transfirió el apoyo monetario de becas el mes 1 + Becarios de educación media superior  a los que se les transfirió el apoyo monetario de becas el mes 2) *1/2) / (Becarios de educación media superior activos en el bimestre)] x 100</t>
  </si>
  <si>
    <t>Estratégico-Eficacia-Bimestral</t>
  </si>
  <si>
    <r>
      <t>Niños que reciben becas de educación básica y media superior</t>
    </r>
    <r>
      <rPr>
        <i/>
        <sz val="10"/>
        <color indexed="30"/>
        <rFont val="Soberana Sans"/>
        <family val="3"/>
      </rPr>
      <t xml:space="preserve">
Indicador Seleccionado</t>
    </r>
  </si>
  <si>
    <t>Número de becarios de educación básica a los que se les emitió transferencia monetaria para becas educativas + número de becarios de educación media superior a los que se les emitió transferencia monetaria para becas educativas.</t>
  </si>
  <si>
    <t>Niño</t>
  </si>
  <si>
    <r>
      <t>Porcentaje de becarios de educación básica a los que se emitió apoyos para útiles escolares.</t>
    </r>
    <r>
      <rPr>
        <i/>
        <sz val="10"/>
        <color indexed="30"/>
        <rFont val="Soberana Sans"/>
        <family val="3"/>
      </rPr>
      <t xml:space="preserve">
</t>
    </r>
  </si>
  <si>
    <t>(Número de becarios de educación básica a los que se les transfirió el apoyo monetario para la adquisición de útiles escolares en el bimestre / Número total de becarios activos de educación basica en el bimestre) x 100.</t>
  </si>
  <si>
    <r>
      <t>Porcentaje de becarios de educación media superior a los que se emitió apoyos para útiles escolares.</t>
    </r>
    <r>
      <rPr>
        <i/>
        <sz val="10"/>
        <color indexed="30"/>
        <rFont val="Soberana Sans"/>
        <family val="3"/>
      </rPr>
      <t xml:space="preserve">
</t>
    </r>
  </si>
  <si>
    <t>(Número de becarios de educación media superior a los que se les transfirió el apoyo monetario para la adquisición de útiles escolares en el bimestre / Número total de becarios activos de educación media superior en el bimestre) x 100.</t>
  </si>
  <si>
    <t>B Familias beneficiarias, que cumplieron su corresponsabilidad, con el Paquete Básico Garantizado de Salud (PBGS) provisto y apoyos en especie entregados.</t>
  </si>
  <si>
    <r>
      <t>Porcentaje de cobertura de atención en salud a familias beneficiarias</t>
    </r>
    <r>
      <rPr>
        <i/>
        <sz val="10"/>
        <color indexed="30"/>
        <rFont val="Soberana Sans"/>
        <family val="3"/>
      </rPr>
      <t xml:space="preserve">
</t>
    </r>
  </si>
  <si>
    <t>(Número de familias beneficiarias en control / Número total de familias beneficiarias registradas en la unidad médica) x 100</t>
  </si>
  <si>
    <r>
      <t>Porcentaje de cobertura de atención prenatal a mujeres.</t>
    </r>
    <r>
      <rPr>
        <i/>
        <sz val="10"/>
        <color indexed="30"/>
        <rFont val="Soberana Sans"/>
        <family val="3"/>
      </rPr>
      <t xml:space="preserve">
</t>
    </r>
  </si>
  <si>
    <t>(Mujeres embarazadas beneficiarias en control / Total de mujeres embarazadas beneficiarias registradas) x 100.</t>
  </si>
  <si>
    <r>
      <t>Porcentaje de adultos mayores beneficiarios que cumplieron su corresponsabilidad en salud a los que se les emitió el apoyo monetario.</t>
    </r>
    <r>
      <rPr>
        <i/>
        <sz val="10"/>
        <color indexed="30"/>
        <rFont val="Soberana Sans"/>
        <family val="3"/>
      </rPr>
      <t xml:space="preserve">
</t>
    </r>
  </si>
  <si>
    <t>(Número de adultos mayores a los que se les transfirió el apoyo monetario dirigido a los adultos de 70 y más años / Númerov total de adultos mayores en el Padrón Activo) x 100</t>
  </si>
  <si>
    <r>
      <t>Porcentaje de cobertura de mujeres embarazadas y en lactancia con suplemento.</t>
    </r>
    <r>
      <rPr>
        <i/>
        <sz val="10"/>
        <color indexed="30"/>
        <rFont val="Soberana Sans"/>
        <family val="3"/>
      </rPr>
      <t xml:space="preserve">
</t>
    </r>
  </si>
  <si>
    <t>[Número de mujeres embarazadas y en lactancia beneficiarias que recibieron tratamientos de suplemento alimenticio(mes par) / Número total de mujeres embarazadas y en lactancia beneficiarias en control(mes par)] x 100.</t>
  </si>
  <si>
    <r>
      <t>Porcentaje de cobertura de niños con suplemento.</t>
    </r>
    <r>
      <rPr>
        <i/>
        <sz val="10"/>
        <color indexed="30"/>
        <rFont val="Soberana Sans"/>
        <family val="3"/>
      </rPr>
      <t xml:space="preserve">
</t>
    </r>
  </si>
  <si>
    <t>[Número de niñas y niños beneficiarios de 6 a 59 meses de edad que recibieron tratamientos de suplemento alimenticio (mes par)/ Número total de niñas y niños beneficiarios de 6 a 59 meses de edad en control nutricional (mes par)] x 100.</t>
  </si>
  <si>
    <r>
      <t>Porcentaje de niños beneficiarios que están en control nutricional.</t>
    </r>
    <r>
      <rPr>
        <i/>
        <sz val="10"/>
        <color indexed="30"/>
        <rFont val="Soberana Sans"/>
        <family val="3"/>
      </rPr>
      <t xml:space="preserve">
Indicador Seleccionado</t>
    </r>
  </si>
  <si>
    <t>(Número de niños menores de cinco años beneficiarios registrados en control nutricional / Número total de niños beneficiarios menores de cinco años registrados) * 100.</t>
  </si>
  <si>
    <t>C Familias beneficiarias que cumplieron su corresponsabilidad en salud con apoyos monetarios emitidos.</t>
  </si>
  <si>
    <r>
      <t>Porcentaje de familias beneficiarias a las que se les emitió apoyo monetario para alimentación.</t>
    </r>
    <r>
      <rPr>
        <i/>
        <sz val="10"/>
        <color indexed="30"/>
        <rFont val="Soberana Sans"/>
        <family val="3"/>
      </rPr>
      <t xml:space="preserve">
</t>
    </r>
  </si>
  <si>
    <t>(Número de familias beneficiarias a las que se les transfirió el apoyo monetario de alimentación / Número total de familias beneficiarias en el Padrón Activo - número de familias que se encuentran en el Esquema Diferenciado de Apoyos) x 100.</t>
  </si>
  <si>
    <t>A 1 Buena atención a las titulares de familias beneficiarias de Oportunidades en las Mesas de Atención y Servicios.</t>
  </si>
  <si>
    <r>
      <t>Porcentaje de titulares que consideran que la atención del personal de Oportunidades es buena.</t>
    </r>
    <r>
      <rPr>
        <i/>
        <sz val="10"/>
        <color indexed="30"/>
        <rFont val="Soberana Sans"/>
        <family val="3"/>
      </rPr>
      <t xml:space="preserve">
</t>
    </r>
  </si>
  <si>
    <t>(Total de respuestas de titulares que mencionaron haber acudido a una Mesa de Atención y Sevicios y consideran buena la atención que recibieron / Total de respuestas válidas de titulares que mencionaron haber acudido a una Mesa de Atención y Servicios y que opinaron sobre la atención del personal)*100.</t>
  </si>
  <si>
    <t>A 2 Certificación de la asistencia de becarios en educación básica.</t>
  </si>
  <si>
    <r>
      <t>Porcentaje de becarios de educación básica para los que se certificó el cumplimiento de la corresponsabilidad.</t>
    </r>
    <r>
      <rPr>
        <i/>
        <sz val="10"/>
        <color indexed="30"/>
        <rFont val="Soberana Sans"/>
        <family val="3"/>
      </rPr>
      <t xml:space="preserve">
</t>
    </r>
  </si>
  <si>
    <t>(Becarios de educación básica con cumplimiento de corresponsabilidad /Total de becarios de educación básica para los que se recibió oportunamente el reporte de corresponsabilidad) x 100</t>
  </si>
  <si>
    <t>A 3 Certificación de la permanencia de jóvenes becarios en educación media superior.</t>
  </si>
  <si>
    <r>
      <t>Porcentaje de becarios de educación media superior para los que se certificó el cumplimiento de la corresponsabilidad.</t>
    </r>
    <r>
      <rPr>
        <i/>
        <sz val="10"/>
        <color indexed="30"/>
        <rFont val="Soberana Sans"/>
        <family val="3"/>
      </rPr>
      <t xml:space="preserve">
</t>
    </r>
  </si>
  <si>
    <t>(Número de becarios de educación media superior con certificación de la corresponsabilidad/  Número total de becarios de educación media superior) x 100.</t>
  </si>
  <si>
    <t>Gestión-Eficacia-Bimestral</t>
  </si>
  <si>
    <t>A 4 Promoción de la incorporación al Programa de Escuelas de Calidad de escuelas de educación básica con becarios Oportunidades.</t>
  </si>
  <si>
    <r>
      <t>Porcentaje de escuelas de educación básica que participan en el Programa Escuelas de Calidad con becarios de Oportunidades .</t>
    </r>
    <r>
      <rPr>
        <i/>
        <sz val="10"/>
        <color indexed="30"/>
        <rFont val="Soberana Sans"/>
        <family val="3"/>
      </rPr>
      <t xml:space="preserve">
</t>
    </r>
  </si>
  <si>
    <t>(Escuelas de educación básica con becarios de Oportunidades que participan en el Programa Escuelas de Calidad ) / (Total de escuelas de educación básica con becarios de Oportunidades ) x 100</t>
  </si>
  <si>
    <t>Gestión-Calidad-Anual</t>
  </si>
  <si>
    <t>A 5 Transferencia de recursos.</t>
  </si>
  <si>
    <r>
      <t>Razón de recursos entregados respecto a los costos directos de las transferencias monetarias.</t>
    </r>
    <r>
      <rPr>
        <i/>
        <sz val="10"/>
        <color indexed="30"/>
        <rFont val="Soberana Sans"/>
        <family val="3"/>
      </rPr>
      <t xml:space="preserve">
</t>
    </r>
  </si>
  <si>
    <t>(Costos directos de la entrega de apoyos monetarios / Monto total de los apoyos transferidos) x 100.</t>
  </si>
  <si>
    <t>Gestión-Economía-Bimestral</t>
  </si>
  <si>
    <t>A 6 Cobertura de atención de familias beneficiarias.</t>
  </si>
  <si>
    <r>
      <t>Porcentaje de cobertura de familias beneficiarias</t>
    </r>
    <r>
      <rPr>
        <i/>
        <sz val="10"/>
        <color indexed="30"/>
        <rFont val="Soberana Sans"/>
        <family val="3"/>
      </rPr>
      <t xml:space="preserve">
</t>
    </r>
  </si>
  <si>
    <t>(Número de familias beneficiarias del Programa / Número de familias establecidas como población objetivo para el ejercicio fiscal vigente) x 100</t>
  </si>
  <si>
    <r>
      <t>Porcentaje de familias beneficiarias con una mujer como titular</t>
    </r>
    <r>
      <rPr>
        <i/>
        <sz val="10"/>
        <color indexed="30"/>
        <rFont val="Soberana Sans"/>
        <family val="3"/>
      </rPr>
      <t xml:space="preserve">
</t>
    </r>
  </si>
  <si>
    <t>(Número de familias beneficiarias con titular mujer) / (Número total de familias beneficiarias en el padrón activo del Programa)x 100</t>
  </si>
  <si>
    <r>
      <t>Familias beneficiarias del Programa Oportunidades</t>
    </r>
    <r>
      <rPr>
        <i/>
        <sz val="10"/>
        <color indexed="30"/>
        <rFont val="Soberana Sans"/>
        <family val="3"/>
      </rPr>
      <t xml:space="preserve">
Indicador Seleccionado</t>
    </r>
  </si>
  <si>
    <t>Número total de familias beneficiarias activas al final del periodo</t>
  </si>
  <si>
    <t>Familia</t>
  </si>
  <si>
    <t>B 7 Prestación de servicios de salud.</t>
  </si>
  <si>
    <r>
      <t>Porcentaje de cobertura de atención prenatal a mujeres en el primer trimestre de gestación.</t>
    </r>
    <r>
      <rPr>
        <i/>
        <sz val="10"/>
        <color indexed="30"/>
        <rFont val="Soberana Sans"/>
        <family val="3"/>
      </rPr>
      <t xml:space="preserve">
</t>
    </r>
  </si>
  <si>
    <t>(Número de mujeres que ingresan a control del embarazo en el primer trimestre de gestación / Número total de mujeres que ingresan a control del embarazo) x 100.</t>
  </si>
  <si>
    <r>
      <t>Porcentaje de unidades médicas abastecidas con más del 80% de medicamentos.</t>
    </r>
    <r>
      <rPr>
        <i/>
        <sz val="10"/>
        <color indexed="30"/>
        <rFont val="Soberana Sans"/>
        <family val="3"/>
      </rPr>
      <t xml:space="preserve">
</t>
    </r>
  </si>
  <si>
    <t>(Número de unidades médicas que cuentan con los insumos para la prestación de servicios / Número total de unidades médicas) x 100.</t>
  </si>
  <si>
    <t>Gestión-Eficiencia-Semestral</t>
  </si>
  <si>
    <t>B 8 Certificación del cumplimiento de la corresponsabilidad en salud de los adultos mayores beneficiarios.</t>
  </si>
  <si>
    <r>
      <t>Porcentaje de adultos mayores beneficiarios para los que se certificó el cumplimiento de la corresponsabilidad.</t>
    </r>
    <r>
      <rPr>
        <i/>
        <sz val="10"/>
        <color indexed="30"/>
        <rFont val="Soberana Sans"/>
        <family val="3"/>
      </rPr>
      <t xml:space="preserve">
</t>
    </r>
  </si>
  <si>
    <t>(Número de adultos mayores para los que se recibió oportunamente la certificación a salud / Número total de adultos mayores activos en el padrón) x 100</t>
  </si>
  <si>
    <t>B 9 Entrega de tratamientos de suplemento alimenticio.</t>
  </si>
  <si>
    <r>
      <t>Promedio de tratamientos de suplemento alimenticio a mujeres beneficiarias.</t>
    </r>
    <r>
      <rPr>
        <i/>
        <sz val="10"/>
        <color indexed="30"/>
        <rFont val="Soberana Sans"/>
        <family val="3"/>
      </rPr>
      <t xml:space="preserve">
</t>
    </r>
  </si>
  <si>
    <t>Número de tratamientos de suplemento alimentico para mujer entregados (mes par) / Total de mujeres embarazadas y en periodo de lactancia que recibieron tratamiento de suplemento alimenticio.(mes par)alimenticio</t>
  </si>
  <si>
    <t>Promedio</t>
  </si>
  <si>
    <r>
      <t>Promedio de tratamientos de suplemento alimenticio a niños beneficiarios.</t>
    </r>
    <r>
      <rPr>
        <i/>
        <sz val="10"/>
        <color indexed="30"/>
        <rFont val="Soberana Sans"/>
        <family val="3"/>
      </rPr>
      <t xml:space="preserve">
</t>
    </r>
  </si>
  <si>
    <t>Número de tratamientos de suplemento alimenticio para niñas y niños entregados (mes par)/ Total de niñas y niños de 6 a 59 meses que recibieron tratamientos de suplemento alimenticio.(mes par)</t>
  </si>
  <si>
    <t>Gestión-Eficiencia-Bimestral</t>
  </si>
  <si>
    <t>C 10 Certificación del cumplimiento de corresponsabilidades en salud de las familias beneficiarias.</t>
  </si>
  <si>
    <r>
      <t>Porcentaje de familias beneficiarias para las que se recibió el reporte oportunamente y cumplieron con su corresponsabilidad en salud.</t>
    </r>
    <r>
      <rPr>
        <i/>
        <sz val="10"/>
        <color indexed="30"/>
        <rFont val="Soberana Sans"/>
        <family val="3"/>
      </rPr>
      <t xml:space="preserve">
</t>
    </r>
  </si>
  <si>
    <t>(Familias con cumplimiento de corresponsabilidad a salud)/ (Total de familias para las que se recibió oportunamente la certificación a salud) x 100</t>
  </si>
  <si>
    <r>
      <t xml:space="preserve">Porcentaje de becarios de secundaria que transitan a educación media superior.
</t>
    </r>
    <r>
      <rPr>
        <sz val="10"/>
        <rFont val="Soberana Sans"/>
        <family val="2"/>
      </rPr>
      <t xml:space="preserve"> Causa : Durante el ejercicio presupuestal 2013, se realizaron todas las acciones necesarias para favorecer la inscripción al 1er grado de educación media superior (EMS) del ciclo escolar 2013-2014 de los becarios que concluyeron el ciclo escolar 2012-2013 inscritos en 3er grado de secundaria. En particular, en algunos estados, se ampliaron e intensificaron las acciones de difusión y promoción entre los becarios del PDHO para que continuaran con su trayectoria educativa. El número de becarios de secundaria inscritos en EMS fue superior en un 29.7% a lo programado, mientras que los becarios activos de 3ro de secundaria en el ciclo escolar anterior sólo un 3.5 por ciento. Efecto: El valor del avance en el periodo fue mayor en 13.94 puntos porcentuales (25.4%) respecto al valor de la meta programada. Otros Motivos:</t>
    </r>
  </si>
  <si>
    <r>
      <t xml:space="preserve">Porcentaje de becarios de primaria que transitan a secundaria.
</t>
    </r>
    <r>
      <rPr>
        <sz val="10"/>
        <rFont val="Soberana Sans"/>
        <family val="2"/>
      </rPr>
      <t xml:space="preserve"> Causa : Durante el ejercicio presupuestal 2013, se realizaron todas las acciones necesarias para favorecer la inscripción a primer grado de secundaria en el ciclo escolar 2013-2014 de los becarios que concluyeron el ciclo escolar 2012-2013 inscritos en sexto grado de primaria. En particular, en algunos estados, se ampliaron e intensificaron las acciones de difusión y promoción entre los becarios del PDHO para que continuaran con su trayectoria educativa. El número de becarios de primaria inscritos en 1o de secundaria fue superior en un 16.8% respecto a lo programado, mientras que los becarios inscritos en 6o de primaria el ciclo escolar anterior sólo un 3.7 por ciento. Efecto: El valor del avance en el periodo fue mayor en 10.06 puntos porcentuales (12.6%) respecto al valor de la meta programada. Otros Motivos:</t>
    </r>
  </si>
  <si>
    <r>
      <t xml:space="preserve">Porcentaje de terminación de educación básica de los jóvenes beneficiarios de Oportunidades.
</t>
    </r>
    <r>
      <rPr>
        <sz val="10"/>
        <rFont val="Soberana Sans"/>
        <family val="2"/>
      </rPr>
      <t xml:space="preserve"> Causa :  Durante el ejercicio presupuestal 2013, se realizaron todas las acciones necesarias para favorecer la asistencia y permanencia de los becarios integrantes de las familias beneficiarias inscritos en 3er grado de secundaria. En particular, en algunos estados, se ampliaron e intensificaron las acciones de difusión y promoción entre los becarios del PDHO para que continuaran con su trayectoria educativa. El número de egresados de secundaria fue mayor un 66.9% respecto a lo programado, mientras que la población beneficiaria con 15 años de edad sólo un 44.7 por ciento. Efecto: El valor del avance en el periodo fue mayor en 9.49 puntos porcentuales (15.3%) respecto al valor de la meta programada. Otros Motivos:</t>
    </r>
  </si>
  <si>
    <r>
      <t xml:space="preserve">Tasa de becarias en educación media superior con respecto a la composición por sexo de la matricula nacional.
</t>
    </r>
    <r>
      <rPr>
        <sz val="10"/>
        <rFont val="Soberana Sans"/>
        <family val="2"/>
      </rPr>
      <t xml:space="preserve"> Causa : Entre 2012 y 2013 el padrón de becarias y becarios de Oportunidades en educación media superior (EMS) aumentó en 5.69%; sin embargo, el porcentaje del incremento en el número de varones fue superior al correspondiente en mujeres: 4.70 versus 3.08%, respectivamente. Efecto: El valor del avance en el periodo fue menor en 1.06 puntos porcentuales (47.3%) respecto al valor de la meta programada. No obstante, por el método de cálculo de este indicador, es posible afirmar que cualquier valor no negativo que se obtenga es un reflejo de que la composición por sexo del total de becarios de Oportunidades es más favorable a las mujeres que el correspondiente a la matrícula nacional. Otros Motivos:Existe un error de captura en el denominador de la Meta Modificada, el dato correcto es 50.45.</t>
    </r>
  </si>
  <si>
    <r>
      <t xml:space="preserve">Tasa de becarias en educación básica con respecto a la composición por sexo de la matricula nacional.
</t>
    </r>
    <r>
      <rPr>
        <sz val="10"/>
        <rFont val="Soberana Sans"/>
        <family val="2"/>
      </rPr>
      <t xml:space="preserve"> Causa : Durante el ejercicio presupuestal 2013, se realizaron todas las acciones necesarias para favorecer la asistencia y permanencia en educación básica de las becarias integrantes de las familias beneficiarias. No obstante, la composición por sexo de los becarios del PDHO estuvo por debajo de lo programado. Efecto:  El valor del avance en el periodo fue menor en 0.07 puntos porcentuales respecto al valor de la meta programada. Otros Motivos:</t>
    </r>
  </si>
  <si>
    <r>
      <t xml:space="preserve">Porcentaje de becarios de educación básica a los que se les emitieron los apoyos monetarios de becas educativas.
</t>
    </r>
    <r>
      <rPr>
        <sz val="10"/>
        <rFont val="Soberana Sans"/>
        <family val="2"/>
      </rPr>
      <t xml:space="preserve"> Causa : Durante el ejercicio presupuestal 2013, se realizaron todas las acciones programadas para cumplir con la meta establecida del indicador. Efecto: El valor del avance en el periodo fue mayor en 1.49 puntos porcentuales (1.5%) respecto al valor de la meta programada. Otros Motivos:</t>
    </r>
  </si>
  <si>
    <r>
      <t xml:space="preserve">Porcentaje de becarios de educación media superior a los que se les emitieron los apoyos monetarios de becas educativas.
</t>
    </r>
    <r>
      <rPr>
        <sz val="10"/>
        <rFont val="Soberana Sans"/>
        <family val="2"/>
      </rPr>
      <t xml:space="preserve"> Causa : Durante el ejercicio presupuestal 2013, se realizaron todas las acciones programadas para cumplir con la meta establecida del indicador. Efecto: El valor del avance en el periodo fue mayor en 1.59 puntos porcentuales (1.6%) respecto al valor de la meta programada. Otros Motivos:</t>
    </r>
  </si>
  <si>
    <r>
      <t xml:space="preserve">Niños que reciben becas de educación básica y media superior
</t>
    </r>
    <r>
      <rPr>
        <sz val="10"/>
        <rFont val="Soberana Sans"/>
        <family val="2"/>
      </rPr>
      <t xml:space="preserve"> Causa : Durante el ejercicio presupuestal 2013, se realizaron todas las acciones programadas para cumplir con la meta establecida del indicador. Efecto: El valor del avance en el periodo fue menor en 1.50% respecto al valor de la meta programada. No obstante, dicho valor se encuentra dentro del rango considerado como aceptable. Otros Motivos:</t>
    </r>
  </si>
  <si>
    <r>
      <t xml:space="preserve">Porcentaje de becarios de educación básica a los que se emitió apoyos para útiles escolares.
</t>
    </r>
    <r>
      <rPr>
        <sz val="10"/>
        <rFont val="Soberana Sans"/>
        <family val="2"/>
      </rPr>
      <t xml:space="preserve"> Causa :  Durante el ejercicio presupuestal 2013, se realizaron todas las acciones necesarias para cumplir con la meta establecida del indicador.  Efecto: El valor del avance en el periodo fue mayor en 1.64 puntos porcentuales (4.8%) respecto al valor de la meta programada. Otros Motivos:</t>
    </r>
  </si>
  <si>
    <r>
      <t xml:space="preserve">Porcentaje de becarios de educación media superior a los que se emitió apoyos para útiles escolares.
</t>
    </r>
    <r>
      <rPr>
        <sz val="10"/>
        <rFont val="Soberana Sans"/>
        <family val="2"/>
      </rPr>
      <t xml:space="preserve"> Causa : Durante el ejercicio presupuestal 2013, se realizaron todas las acciones necesarias para cumplir con la meta establecida del indicador.  Efecto: El valor del avance en el periodo fue mayor en 1.59 puntos porcentuales (1.6%) respecto al valor de la meta programada. Otros Motivos:</t>
    </r>
  </si>
  <si>
    <r>
      <t xml:space="preserve">Porcentaje de cobertura de atención en salud a familias beneficiarias
</t>
    </r>
    <r>
      <rPr>
        <sz val="10"/>
        <rFont val="Soberana Sans"/>
        <family val="2"/>
      </rPr>
      <t xml:space="preserve"> Causa : Se realizaron las acciones para que las familias registradas en las unidades de salud como beneficiarias del Programa recibieran servicios del Paquete Básico Garantizado de Salud y cumplieran con sus compromisos de consultas y sesiones educativas en salud establecidas de acuerdo a las Reglas de Operación del Programa Oportunidades.  Efecto: El valor del avance en el periodo fue mayor en 1.97 puntos porcentuales (2.1%) respecto al valor de la meta programada. Otros Motivos:</t>
    </r>
  </si>
  <si>
    <r>
      <t xml:space="preserve">Porcentaje de cobertura de atención prenatal a mujeres.
</t>
    </r>
    <r>
      <rPr>
        <sz val="10"/>
        <rFont val="Soberana Sans"/>
        <family val="2"/>
      </rPr>
      <t xml:space="preserve"> Causa : Se realizaron las acciones para que mujeres embarazadas beneficiarias del Programa Oportunidades y registradas en las unidades de salud asistieran a control médico para el seguimiento del embarazo.  Efecto: El valor del avance en el periodo fue mayor en 2.34 puntos porcentuales (2.5%) respecto al valor de la meta programada. Otros Motivos:</t>
    </r>
  </si>
  <si>
    <r>
      <t xml:space="preserve">Porcentaje de adultos mayores beneficiarios que cumplieron su corresponsabilidad en salud a los que se les emitió el apoyo monetario.
</t>
    </r>
    <r>
      <rPr>
        <sz val="10"/>
        <rFont val="Soberana Sans"/>
        <family val="2"/>
      </rPr>
      <t xml:space="preserve"> Causa : Durante el ejercicio presupuestal 2013, se realizaron todas las acciones necesarias para cumplir con la meta establecida del indicador.  Efecto: El valor del avance en el periodo fue mayor en 0.51 puntos porcentuales (0.6%) respecto al valor de la meta programada. Otros Motivos:</t>
    </r>
  </si>
  <si>
    <r>
      <t xml:space="preserve">Porcentaje de cobertura de mujeres embarazadas y en lactancia con suplemento.
</t>
    </r>
    <r>
      <rPr>
        <sz val="10"/>
        <rFont val="Soberana Sans"/>
        <family val="2"/>
      </rPr>
      <t xml:space="preserve"> Causa :  En las entidades federativas que no alcanzaron la meta establecida se tienen identificadas las siguientes causas a nivel de las unidades de salud. (1) Inasistencia de titulares, (2) Rotación de médicos, (3) Confusión en el personal de salud por la modificación en la entrega de los nuevos suplementos a la población así como su registro en el SIS, (4) Omisión en la entrega por parte del personal médico, (5) Falta de actualización de los censos de población, (6) No aceptación de los suplementos alimenticios por parte de los titulares por diversas razones o falta de interés por recibirlo, (7) Retraso en la producción y distribución de los suplementos por parte de Liconsa-Diconsa, (8) No se entregaron los suplementos a niños que presentan obesidad o sobrepeso, (9) Subregistro en la información, (10) Problemas de seguridad en las localidades, (11) Incremento de familias no contempladas en la elaboración del requerimiento bimestral de suplementos, (12) Las titulares de las familias acudieron por ellos con fecha posterior al corte, (13) Desinterés del personal médico, principalmente los médicos pasantes en servicio social, en realizar las acciones correspondientes al Componente Salud del PDHO. Efecto: El valor del avance en el periodo fue menor en 4.20 puntos porcentuales (4.7%) respecto al valor de la meta programada. No obstante, dicho valor se encuentra dentro del rango considerado como aceptable. Otros Motivos:</t>
    </r>
  </si>
  <si>
    <r>
      <t xml:space="preserve">Porcentaje de cobertura de niños con suplemento.
</t>
    </r>
    <r>
      <rPr>
        <sz val="10"/>
        <rFont val="Soberana Sans"/>
        <family val="2"/>
      </rPr>
      <t xml:space="preserve"> Causa : En las entidades federativas que no alcanzaron la meta establecida se tienen identificadas las siguientes causas a nivel de las unidades de salud. (1) Inasistencia de titulares, (2) Rotación de médicos, (3) Confusión en el personal de salud por la modificación en la entrega de los nuevos suplementos a la población así como su registro en el SIS, (4) Omisión en la entrega por parte del personal médico, (5) Falta de actualización de los censos de población, (6) No aceptación de los suplementos alimenticios por parte de los titulares por diversas razones o falta de interés por recibirlo, (7) Retraso en la producción y distribución de los suplementos por parte de Liconsa-Diconsa, (8) No se entregaron los suplementos a niños que presentan obesidad o sobrepeso, (9) Subregistro en la información, (10) Problemas de seguridad en las localidades, (11) Incremento de familias no contempladas en la elaboración del requerimiento bimestral de suplementos, (12) Las titulares de las familias acudieron por ellos con fecha posterior al corte, (13) Desinterés del personal médico, principalmente los médicos pasantes en servicio social, en realizar las acciones correspondientes al Componente Salud del PDHO. Efecto: El valor del avance en el periodo fue menor en 2.26 puntos porcentuales (3.3%) respecto al valor de la meta programada. No obstante, dicho valor se encuentra dentro del rango considerado como aceptable. Otros Motivos:</t>
    </r>
  </si>
  <si>
    <r>
      <t xml:space="preserve">Porcentaje de niños beneficiarios que están en control nutricional.
</t>
    </r>
    <r>
      <rPr>
        <sz val="10"/>
        <rFont val="Soberana Sans"/>
        <family val="2"/>
      </rPr>
      <t xml:space="preserve"> Causa : Se realizaron las acciones para que niños menores de 5 años beneficiarios del Programa Oportunidades asistieran a sus citas médicas programadas y se hiciera seguimiento de su estado nutricional.  Efecto: El valor del avance en el periodo fue mayor en 3.38 puntos porcentuales (3.6%) respecto al valor de la meta programada.  Otros Motivos:</t>
    </r>
  </si>
  <si>
    <r>
      <t xml:space="preserve">Porcentaje de familias beneficiarias a las que se les emitió apoyo monetario para alimentación.
</t>
    </r>
    <r>
      <rPr>
        <sz val="10"/>
        <rFont val="Soberana Sans"/>
        <family val="2"/>
      </rPr>
      <t xml:space="preserve"> Causa : Durante el ejercicio presupuestal 2013, se realizaron todas las acciones necesarias para cumplir con la meta establecida del indicador.  Efecto: El valor del avance en el periodo fue mayor en 1.63 puntos porcentuales (1.7%) respecto al valor de la meta programada. Otros Motivos:</t>
    </r>
  </si>
  <si>
    <r>
      <t xml:space="preserve">Porcentaje de titulares que consideran que la atención del personal de Oportunidades es buena.
</t>
    </r>
    <r>
      <rPr>
        <sz val="10"/>
        <rFont val="Soberana Sans"/>
        <family val="2"/>
      </rPr>
      <t xml:space="preserve"> Causa : Se realizaron todas las acciones programadas para que el personal de las Instituciones liquidadoras, Salud, Educación y Oportunidades proporcionara una atención satisfactoria a las titulares beneficiarias. Efecto: El valor del avance en el periodo fue menor en 3.30 puntos porcentuales respecto al valor de la meta programada. No obstante, dicho valor se encuentra dentro del rango considerado como aceptable. Otros Motivos:</t>
    </r>
  </si>
  <si>
    <r>
      <t xml:space="preserve">Porcentaje de becarios de educación básica para los que se certificó el cumplimiento de la corresponsabilidad.
</t>
    </r>
    <r>
      <rPr>
        <sz val="10"/>
        <rFont val="Soberana Sans"/>
        <family val="2"/>
      </rPr>
      <t xml:space="preserve"> Causa : Durante el ejercicio presupuestal 2013, se realizaron todas las acciones programadas para cumplir con la meta establecida del indicador. Efecto: El valor del avance en el periodo fue mayor en 4.00 puntos porcentuales (4.2%) respecto al valor de la meta programada. Otros Motivos:</t>
    </r>
  </si>
  <si>
    <r>
      <t xml:space="preserve">Porcentaje de becarios de educación media superior para los que se certificó el cumplimiento de la corresponsabilidad.
</t>
    </r>
    <r>
      <rPr>
        <sz val="10"/>
        <rFont val="Soberana Sans"/>
        <family val="2"/>
      </rPr>
      <t xml:space="preserve"> Causa :  Durante el ejercicio presupuestal 2013, se realizaron todas las acciones programadas para cumplir con la meta establecida del indicador. Efecto: El valor del avance en el periodo fue mayor en 4.00 puntos porcentuales (4.2%) respecto al valor de la meta programada. Otros Motivos:</t>
    </r>
  </si>
  <si>
    <r>
      <t xml:space="preserve">Porcentaje de escuelas de educación básica que participan en el Programa Escuelas de Calidad con becarios de Oportunidades .
</t>
    </r>
    <r>
      <rPr>
        <sz val="10"/>
        <rFont val="Soberana Sans"/>
        <family val="2"/>
      </rPr>
      <t xml:space="preserve"> Causa : Durante el ejercicio presupuestal 2013, se realizaron todas las acciones programadas de promoción del PEC, en particular en las entidades de mayor cobertura del programa Oportunidades. El número de escuelas de educación básica con becarios Oportunidades que participan en el Programa Escuelas de Calidad fue superior en 32% respecto a lo programado, mientras que el total de escuelas de educación básica con becarios Oportunidades solo aumentó 3% Efecto: El valor del avance en el periodo fue mayor en 6.17 puntos porcentuales (28.0%) respecto al valor de la meta programada. Otros Motivos:</t>
    </r>
  </si>
  <si>
    <r>
      <t xml:space="preserve">Razón de recursos entregados respecto a los costos directos de las transferencias monetarias.
</t>
    </r>
    <r>
      <rPr>
        <sz val="10"/>
        <rFont val="Soberana Sans"/>
        <family val="2"/>
      </rPr>
      <t xml:space="preserve"> Causa : Durante el ejercicio presupuestal 2013, se realizaron todas las acciones necesarias para cumplir con la meta establecida del indicador. En el periodo de análisis, los costos directos de las transferencias monetarias se redujeron un 39% en relación a la meta programada, mientras que el monto de apoyos transferidos aumentó en 4%.   Efecto: El resultado del indicador se encuentra por debajo de la meta esperada en 1.25 puntos porcentuales. Dado que es un indicador con un comportamiento esperado de tipo decreciente, este resultado es positivo. Otros Motivos:</t>
    </r>
  </si>
  <si>
    <r>
      <t xml:space="preserve">Porcentaje de cobertura de familias beneficiarias
</t>
    </r>
    <r>
      <rPr>
        <sz val="10"/>
        <rFont val="Soberana Sans"/>
        <family val="2"/>
      </rPr>
      <t xml:space="preserve"> Causa : Durante el ejercicio presupuestal 2013, se realizaron todas las acciones necesarias para cumplir con la meta establecida del indicador.  Efecto: El valor del avance en el periodo fue mayor en 2.11 puntos porcentuales (2.1%) respecto al valor de la meta programada. Otros Motivos:</t>
    </r>
  </si>
  <si>
    <r>
      <t xml:space="preserve">Porcentaje de familias beneficiarias con una mujer como titular
</t>
    </r>
    <r>
      <rPr>
        <sz val="10"/>
        <rFont val="Soberana Sans"/>
        <family val="2"/>
      </rPr>
      <t xml:space="preserve"> Causa : Durante el ejercicio presupuestal 2013, se realizaron todas las acciones necesarias para cumplir con la meta establecida del indicador.  Efecto: El valor del avance en el periodo fue mayor en 0.53 puntos porcentuales (0.6%) respecto al valor de la meta programada. Otros Motivos:</t>
    </r>
  </si>
  <si>
    <r>
      <t xml:space="preserve">Familias beneficiarias del Programa Oportunidades
</t>
    </r>
    <r>
      <rPr>
        <sz val="10"/>
        <rFont val="Soberana Sans"/>
        <family val="2"/>
      </rPr>
      <t xml:space="preserve"> Causa : Durante el ejercicio presupuestal 2013, se realizaron todas las acciones programadas para cumplir con la meta establecida del indicador. Efecto: El valor del avance en el periodo fue mayor en 2.1% respecto al valor de la meta programada. Otros Motivos:</t>
    </r>
  </si>
  <si>
    <r>
      <t xml:space="preserve">Porcentaje de cobertura de atención prenatal a mujeres en el primer trimestre de gestación.
</t>
    </r>
    <r>
      <rPr>
        <sz val="10"/>
        <rFont val="Soberana Sans"/>
        <family val="2"/>
      </rPr>
      <t xml:space="preserve"> Causa : Durante las sesiones de los talleres de autocuidado de la salud, se promovió activa e intensivamente, la atención oportuna y continua del embarazo para una mejor salud de la mujer y del bebé.  Efecto: El valor del avance en el periodo fue mayor en 7.54 puntos porcentuales (18.8%) respecto al valor de la meta programada. Otros Motivos:</t>
    </r>
  </si>
  <si>
    <r>
      <t xml:space="preserve">Porcentaje de unidades médicas abastecidas con más del 80% de medicamentos.
</t>
    </r>
    <r>
      <rPr>
        <sz val="10"/>
        <rFont val="Soberana Sans"/>
        <family val="2"/>
      </rPr>
      <t xml:space="preserve"> Causa : Se realizaron las acciones necesarias para garantizar el abasto de medicamentos del Paquete Básico Garantizado de Salud en las unidades médicas para la atención de la población beneficiaria de Oportunidades. Efecto: El valor del avance en el periodo fue mayor en 10.04 puntos porcentuales (12.5%) respecto al valor de la meta programada. Otros Motivos:</t>
    </r>
  </si>
  <si>
    <r>
      <t xml:space="preserve">Porcentaje de adultos mayores beneficiarios para los que se certificó el cumplimiento de la corresponsabilidad.
</t>
    </r>
    <r>
      <rPr>
        <sz val="10"/>
        <rFont val="Soberana Sans"/>
        <family val="2"/>
      </rPr>
      <t xml:space="preserve"> Causa : Durante el ejercicio presupuestal 2013, se realizaron todas las acciones programadas para cumplir con la meta establecida del indicador. Efecto: El valor del avance en el periodo fue menor en 0.91 puntos porcentuales (0.9%) respecto al valor de la meta programada. No obstante, dicho valor se encuentra dentro del rango considerado como aceptable. Otros Motivos:</t>
    </r>
  </si>
  <si>
    <r>
      <t xml:space="preserve">Promedio de tratamientos de suplemento alimenticio a mujeres beneficiarias.
</t>
    </r>
    <r>
      <rPr>
        <sz val="10"/>
        <rFont val="Soberana Sans"/>
        <family val="2"/>
      </rPr>
      <t xml:space="preserve"> Causa : Con el objetivo de prevenir la desnutrición desde la etapa de gestión se realizaron acciones para garantizar el abasto y la entrega de suplemento alimenticio a las mujeres embarazadas y en periodo de lactancia beneficiarias del Programa. Efecto:  El valor del avance en el periodo fue menor en 0.01 puntos porcentuales (0.6%) respecto al valor de la meta programada. No obstante, dicho valor se encuentra dentro del rango considerado como aceptable. Otros Motivos:Es importante destacar, que en este año se inició la entrega de la nueva suplementación a la población que habita en localidades rurales y urbanas, el registro de los nuevos suplementos alimenticios se hace mediante tratamientos de suplementos alimenticios entregados. </t>
    </r>
  </si>
  <si>
    <r>
      <t xml:space="preserve">Promedio de tratamientos de suplemento alimenticio a niños beneficiarios.
</t>
    </r>
    <r>
      <rPr>
        <sz val="10"/>
        <rFont val="Soberana Sans"/>
        <family val="2"/>
      </rPr>
      <t xml:space="preserve"> Causa : Con el objetivo de prevenir y atender la desnutrición se realizan acciones para garantizar el abasto y la entrega de suplemento alimenticio a los niños beneficiarios del Programa de 6 a 59 meses. Efecto:  El valor del avance en el periodo fue menor en 0.01 puntos porcentuales (0.7%) respecto al valor de la meta programada. No obstante, dicho valor se encuentra dentro del rango considerado como aceptable. Otros Motivos:Es importante destacar, que en este año se inició la entrega de la nueva suplementación a la población que habita en localidades rurales y urbanas, el registro de los nuevos suplementos alimenticios se hace mediante tratamientos de suplementos alimenticios entregados. </t>
    </r>
  </si>
  <si>
    <r>
      <t xml:space="preserve">Porcentaje de familias beneficiarias para las que se recibió el reporte oportunamente y cumplieron con su corresponsabilidad en salud.
</t>
    </r>
    <r>
      <rPr>
        <sz val="10"/>
        <rFont val="Soberana Sans"/>
        <family val="2"/>
      </rPr>
      <t xml:space="preserve"> Causa : Durante el ejercicio presupuestal 2013, se realizaron todas las acciones programadas para cumplir con la meta establecida del indicador. Efecto: El valor del avance en el periodo fue mayor en 0.39 puntos porcentuales (0.4%) respecto al valor de la meta programada. Otros Motivos:</t>
    </r>
  </si>
  <si>
    <t>S118</t>
  </si>
  <si>
    <t>Programa de Apoyo Alimentario</t>
  </si>
  <si>
    <t>Contribuir a mejorar el acceso a la alimentación de las familias beneficiarias mediante la entrega de apoyos monetarios.</t>
  </si>
  <si>
    <r>
      <t xml:space="preserve">Porcentaje de diferencia en la prevalencia de baja talla para la edad en menores de cinco años de la población beneficiaria y no beneficiaria </t>
    </r>
    <r>
      <rPr>
        <i/>
        <sz val="10"/>
        <color indexed="30"/>
        <rFont val="Soberana Sans"/>
        <family val="3"/>
      </rPr>
      <t xml:space="preserve">
</t>
    </r>
  </si>
  <si>
    <t>{[(Niños de 0 a 59 meses de edad de la muestra del PAL con puntaje Z de talla para la edad &lt; - 2 DE de la referencia / Total de niños de 0 a 59 meses de edad de la muestra del PAL encuestados) - (Niños de 0 a 59 meses de edad de la muestra a escala nacional con puntaje Z de talla para la edad &lt; - 2 DE de la referencia / Total de niños de 0 a 59 meses de edad de la muestra a escala nacional encuestados)] / (Niños de 0 a 59 meses de edad de la muestra a escala nacional con puntaje Z de talla para la edad &lt; - 2 DE de la referencia / Total de niños de 0 a 59 meses de edad de la muestra a escala nacional encuestados)} x 100.</t>
  </si>
  <si>
    <r>
      <t>Diferencia en la prevalencia de seguridad alimentaria entre los hogares a escala nacional y los hogares elegibles para el programa.</t>
    </r>
    <r>
      <rPr>
        <i/>
        <sz val="10"/>
        <color indexed="30"/>
        <rFont val="Soberana Sans"/>
        <family val="3"/>
      </rPr>
      <t xml:space="preserve">
</t>
    </r>
  </si>
  <si>
    <t>(Porcentaje de hogares a escala nacional que tienen seguridad alimentaria) - (Porcentaje de hogares elegibles del PAL que tienen seguridad alimentaria)</t>
  </si>
  <si>
    <t>Punto porcentual</t>
  </si>
  <si>
    <t>Las familias beneficiarias mejoran su bienestar económico y su alimentación a través de la compensación en su ingreso que reciben a través del programa.</t>
  </si>
  <si>
    <r>
      <t>Porcentaje de individuos de hogares elegibles para ser atendidos por el programa con seguridad alimentaria.</t>
    </r>
    <r>
      <rPr>
        <i/>
        <sz val="10"/>
        <color indexed="30"/>
        <rFont val="Soberana Sans"/>
        <family val="3"/>
      </rPr>
      <t xml:space="preserve">
</t>
    </r>
  </si>
  <si>
    <t>(Número de individuos de hogares entrevistados elegibles para ser atendidos por el programa y con seguridad alimentaria / Número de individuos del total de hogares entrevistados elegibles para ser atendidos por el programa)*100.</t>
  </si>
  <si>
    <t>A Familias beneficiarias con apoyos monetarios entregados y orientación recibida</t>
  </si>
  <si>
    <r>
      <t>Porcentaje de familias beneficiarias y en transición a las que se les emitió el apoyo monetario o el apoyo especial de tránsito.</t>
    </r>
    <r>
      <rPr>
        <i/>
        <sz val="10"/>
        <color indexed="30"/>
        <rFont val="Soberana Sans"/>
        <family val="3"/>
      </rPr>
      <t xml:space="preserve">
</t>
    </r>
  </si>
  <si>
    <t>(Número de familias beneficiarias del PAL + número de familias en transición a Oportunidades a las que se les emitió el apoyo monetario para alimentación o el apoyo especial de tránsito /  Número total de familias beneficiarias en el padrón activo)*100</t>
  </si>
  <si>
    <r>
      <t>Porcentaje de sesiones de orientación a titulares de familias beneficiarias realizadas.</t>
    </r>
    <r>
      <rPr>
        <i/>
        <sz val="10"/>
        <color indexed="30"/>
        <rFont val="Soberana Sans"/>
        <family val="3"/>
      </rPr>
      <t xml:space="preserve">
</t>
    </r>
  </si>
  <si>
    <t>(Número de sesiones de orientación a titulares realizadas / Número de sesiones  de orientación a titulares programadas)x100</t>
  </si>
  <si>
    <t>A 1 Cobertura del Programa</t>
  </si>
  <si>
    <r>
      <t xml:space="preserve"> Porcentaje de cobertura de familias beneficiarias</t>
    </r>
    <r>
      <rPr>
        <i/>
        <sz val="10"/>
        <color indexed="30"/>
        <rFont val="Soberana Sans"/>
        <family val="3"/>
      </rPr>
      <t xml:space="preserve">
</t>
    </r>
  </si>
  <si>
    <t>( Número de familias atendidas por el Programa de Apoyo Alimentario + número de familias en tránsito a Oportunidades / Número total de familias establecidas como población objetivo para el ejercicio fiscal vigente) x 100</t>
  </si>
  <si>
    <r>
      <t>Número de familias beneficiadas</t>
    </r>
    <r>
      <rPr>
        <i/>
        <sz val="10"/>
        <color indexed="30"/>
        <rFont val="Soberana Sans"/>
        <family val="3"/>
      </rPr>
      <t xml:space="preserve">
Indicador Seleccionado</t>
    </r>
  </si>
  <si>
    <t>Número de familias beneficiadas del PAL + número de familias  en tánsito a Oportunidades.</t>
  </si>
  <si>
    <r>
      <t xml:space="preserve">Diferencia en la prevalencia de seguridad alimentaria entre los hogares a escala nacional y los hogares elegibles para el programa.
</t>
    </r>
    <r>
      <rPr>
        <sz val="10"/>
        <rFont val="Soberana Sans"/>
        <family val="2"/>
      </rPr>
      <t>Sin Información,Sin Justificación</t>
    </r>
  </si>
  <si>
    <r>
      <t xml:space="preserve">Porcentaje de familias beneficiarias y en transición a las que se les emitió el apoyo monetario o el apoyo especial de tránsito.
</t>
    </r>
    <r>
      <rPr>
        <sz val="10"/>
        <rFont val="Soberana Sans"/>
        <family val="2"/>
      </rPr>
      <t xml:space="preserve"> Causa : En el periodo de reporte, la suma del número de familias a las que se les emitió el apoyo (i) que están registradas en el padrón activo (653,387) y (ii) que están en tránsito al Programa Oportunidades (197,127) fue superior a lo estimado. Estas últimas familias se incluyen en el numerador del indicador para reportar la emisión total de apoyos del PAL. Lo anterior, pues durante el tránsito de un programa a otro estas familias no están registradas en el padrón activo de ninguno de los dos programas pero reciben el apoyo monetario de tránsito del PAL. Efecto: El valor del avance en el periodo fue mayor en 26.1 puntos porcentuales (29.0%) respecto al valor de la meta programada. Otros Motivos:</t>
    </r>
  </si>
  <si>
    <r>
      <t xml:space="preserve">Porcentaje de sesiones de orientación a titulares de familias beneficiarias realizadas.
</t>
    </r>
    <r>
      <rPr>
        <sz val="10"/>
        <rFont val="Soberana Sans"/>
        <family val="2"/>
      </rPr>
      <t xml:space="preserve"> Causa : Se realizaron las acciones necesarias para cumplir con la meta programada de porcentaje de sesiones de orientación a titulares del programa. El indicador se cumplió al 120% respecto a lo programado a partir de que se presentaron factores favorables  para realizar en mayor medida las sesiones de orientación. Entre dichos factores se encuentran: 1) mayor accesibilidad a la localidad por mejores condiciones climatológicas, naturales, de inseguridad, conflicto social, brote epidemiológico ó aquellas que ponen en riesgo la integridad física del personal del Programa; 2) la sesiones de orientación coincidieron en menor medida con algún evento político; y 3) la sesiones de orientación fueron reprogramadas en menor cantidad por el enlace municipal .  Efecto: El valor del avance en el periodo fue mayor en 14.2 puntos porcentuales (20.3%) respecto al valor de la meta programada. Otros Motivos:</t>
    </r>
  </si>
  <si>
    <r>
      <t xml:space="preserve"> Porcentaje de cobertura de familias beneficiarias
</t>
    </r>
    <r>
      <rPr>
        <sz val="10"/>
        <rFont val="Soberana Sans"/>
        <family val="2"/>
      </rPr>
      <t xml:space="preserve"> Causa : Se realizaron las acciones planeadas para lograr la meta de cobertura de familias beneficiarias.  En el periodo de reporte, la suma del número de familias registradas en el padrón activo (732,715) y las que están en tránsito al Programa Oportunidades (200,507) fue superior a lo estimado. Las familias en tránsito al Programa Oportunidades se incluyen para reportar la atención brindada por el PAL al total de familias que recibieron de éste algún apoyo monetario. Lo anterior, pues durante el tránsito de un programa a otro estas familias no están registradas en el padrón activo de ninguno de los dos programas pero reciben el apoyo monetario de tránsito del PAL. Efecto: El valor del avance en el periodo fue mayor en 39.3 puntos porcentuales (39.3%) respecto al valor de la meta programada. Otros Motivos:</t>
    </r>
  </si>
  <si>
    <r>
      <t xml:space="preserve">Número de familias beneficiadas
</t>
    </r>
    <r>
      <rPr>
        <sz val="10"/>
        <rFont val="Soberana Sans"/>
        <family val="2"/>
      </rPr>
      <t xml:space="preserve"> Causa : En el periodo de reporte, la suma del número de familias registradas en el padrón activo (732,715) y las que están en tránsito al Programa Oportunidades (200,507) fue superior a lo estimado. Las familias en tránsito al Programa Oportunidades se incluyen para reportar la atención brindada por el PAL al total de familias que recibieron de éste algún apoyo monetario. Lo anterior, pues durante el tránsito de un programa a otro estas familias no están registradas en el padrón activo de ninguno de los dos programas pero reciben el apoyo monetario de tránsito del PAL. Efecto: El valor del avance en el periodo fue mayor en un 39.3% respecto al valor de la meta programada. Otros Motivos:</t>
    </r>
  </si>
  <si>
    <t>S155</t>
  </si>
  <si>
    <t>Programa de Apoyo a las Instancias de Mujeres en las Entidades Federativas, Para Implementar y Ejecutar Programas de Prevención de la Violencia Contra las Mujeres</t>
  </si>
  <si>
    <t>Contribuir a prevenir y atender la violencia contra las mujeres, a través de las acciones que realizan las IMEF, en coordinación con las diversas instituciones gubernamentales y sociales involucradas en esa materia.</t>
  </si>
  <si>
    <r>
      <t>Porcentaje de Mujeres de 15 años y más que experimentaron violencia física o sexual a lo largo de la relación con su última pareja que acudieron por ayuda a una IMEF</t>
    </r>
    <r>
      <rPr>
        <i/>
        <sz val="10"/>
        <color indexed="30"/>
        <rFont val="Soberana Sans"/>
        <family val="3"/>
      </rPr>
      <t xml:space="preserve">
</t>
    </r>
  </si>
  <si>
    <t>(Total de Mujeres de 15 años y más que experimentaron violencia física o sexual a lo largo de la relación con su última pareja que acudieron a una IMEF / Total de Mujeres de 15 años y más que experimentaron violencia física o sexual a lo largo de la relación con su última pareja, por instancias de ayuda a las que han acudido) x 100</t>
  </si>
  <si>
    <r>
      <t>Percepción favorable, por parte de las mujeres, sobre la igualdad entre los roles masculinos y femeninos en los hogares.</t>
    </r>
    <r>
      <rPr>
        <i/>
        <sz val="10"/>
        <color indexed="30"/>
        <rFont val="Soberana Sans"/>
        <family val="3"/>
      </rPr>
      <t xml:space="preserve">
</t>
    </r>
  </si>
  <si>
    <t>(Número de mujeres casadas o unidas que respondieron  No  a las preguntas 10.1.1; 10.1.3; 10.1.5; 10.1.7; 10.1.9 y 10.1.10 + Número de mujeres alguna vez unidas y de mujeres nunca unidas que respondieron  No  a las preguntas 8.1.1; 8.1.3; 8.1.5; 8.1.7; 8.1.9 y 8.1.10 + Número de mujeres casadas o unidas que respondieron  De acuerdo ó Sí  a las preguntas 10.1.2; 10.1.4; 10.1.6; 10.1.8; 10.2.1; 10.2.2; 10.2.3; 10.2.4; 10.2.5; 10.2.6; 10.3.1 y 10.3.2 + Número de mujeres alguna vez unidas y nunca unidas que respondieron   De acuerdo ó Sí  a las preguntas 8.1.2; 8.1.4; 8.1.6; 8.1.8; 8.2.1; 8.2.2, 8.2.3; 8.2.4; 8.2.5; 8.2.6; 8.3.1 y 8.3.2 / Sumatoria de respuestas a cada una de las preguntas, de los tres tipos de cuestionario de la ENDIREH, relativas a los Roles de Género) * 100</t>
  </si>
  <si>
    <t>Las Instancias de Mujeres en las Entidades Federativas se fortalecen para prevenir y atender la violencia contra las mujeres, a través de una articulación de las diversas acciones gubernamentales y sociales y de promover la armonización legislativa.</t>
  </si>
  <si>
    <r>
      <t>Índice de Fortalecimiento Institucional de las IMEF para prevenir y atender la violencia contra las mujeres.</t>
    </r>
    <r>
      <rPr>
        <i/>
        <sz val="10"/>
        <color indexed="30"/>
        <rFont val="Soberana Sans"/>
        <family val="3"/>
      </rPr>
      <t xml:space="preserve">
</t>
    </r>
  </si>
  <si>
    <t>Sumatoria de los Subíndices Capacidades Básicas + Corresponsabilidad + Eficiencia Operativa + Eficacia de Resultados, que obtuvieron las IMEF apoyadas por el Programa en el ejercicio fiscal en curso / Número de IMEF apoyadas por el Programa durante el ejercicio fiscal en curso</t>
  </si>
  <si>
    <t>Indice de incremento</t>
  </si>
  <si>
    <t>A Proyectos de las Instancias de Mujeres en las Entidades Federativas apoyados</t>
  </si>
  <si>
    <r>
      <t>Número de proyectos  de las Instancias de Mujeres en las Entidades Federativas (IMEF) apoyados en el período establecido</t>
    </r>
    <r>
      <rPr>
        <i/>
        <sz val="10"/>
        <color indexed="30"/>
        <rFont val="Soberana Sans"/>
        <family val="3"/>
      </rPr>
      <t xml:space="preserve">
Indicador Seleccionado</t>
    </r>
  </si>
  <si>
    <t>Sumatoria del número de proyectos de las IMEF apoyados en el periodo establecido</t>
  </si>
  <si>
    <t>Estratégico-Eficiencia-Trimestral</t>
  </si>
  <si>
    <r>
      <t>Porcentaje de recursos destinados a acciones tendientes a la institucionalización de la prevención y la atención de la violencia contra las mujeres.</t>
    </r>
    <r>
      <rPr>
        <i/>
        <sz val="10"/>
        <color indexed="30"/>
        <rFont val="Soberana Sans"/>
        <family val="3"/>
      </rPr>
      <t xml:space="preserve">
</t>
    </r>
  </si>
  <si>
    <t>(Total de recursos destinados a acciones tendientes a la institucionalización de la prevención y la atención de la violencia contra las mujeres / Total de recursos otorgados a las IMEF) * 100</t>
  </si>
  <si>
    <r>
      <t>Porcentaje de recursos que otorga el programa para acciones y prácticas de prevención de la violencia contra las mujeres, dirigidas a la población en general.</t>
    </r>
    <r>
      <rPr>
        <i/>
        <sz val="10"/>
        <color indexed="30"/>
        <rFont val="Soberana Sans"/>
        <family val="3"/>
      </rPr>
      <t xml:space="preserve">
</t>
    </r>
  </si>
  <si>
    <t>(Total de recursos otorgados para Acciones y prácticas de prevención de la violencia contra las mujeres, dirigidas a la población en general / Total de recursos asignados a las IMEF para la ejecución de sus proyectos) * 100</t>
  </si>
  <si>
    <t>Gestión-Eficiencia-Trianual</t>
  </si>
  <si>
    <r>
      <t>Porcentaje de recursos que otorga el PAIMEF para la atención especializada a las mujeres, y en su caso, a sus hijas e hijos, en situación de violencia, desde la perspectiva de género y en el marco de los derechos humanos, el desarrollo humano y la multiculturalidad.</t>
    </r>
    <r>
      <rPr>
        <i/>
        <sz val="10"/>
        <color indexed="30"/>
        <rFont val="Soberana Sans"/>
        <family val="3"/>
      </rPr>
      <t xml:space="preserve">
</t>
    </r>
  </si>
  <si>
    <t>(Total de recursos otorgados por el PAIMEF para la atención especializada a las mujeres, y en su caso, a sus hijas e hijos, en situación de violencia, desde la perspectiva de género y en el marco de los derechos humanos, el desarrollo humano y la multiculturalidad / Total de recursos otorgados a las IMEF para la ejecución de sus proyectos) * 100</t>
  </si>
  <si>
    <t>B Acciones estratégicas realizadas para el fortalecimiento institucional de las IMEF, en materia de prevención y atención de la violencia contra las mujeres.</t>
  </si>
  <si>
    <r>
      <t>Número de documentos e instrumentos conceptuales, metodológicos y técnicos que favorecen el desarrollo de conocimientos y habilidades estratégicas de las IMEF en materia de prevención y atención de la violencia contra las mujeres generados por INDESOL</t>
    </r>
    <r>
      <rPr>
        <i/>
        <sz val="10"/>
        <color indexed="30"/>
        <rFont val="Soberana Sans"/>
        <family val="3"/>
      </rPr>
      <t xml:space="preserve">
</t>
    </r>
  </si>
  <si>
    <t>Sumatoria de los documentos e instrumentos conceptuales, metodológicos y técnicos que favorecen el desarrollo de conocimientos y habilidades estratégicas de las IMEF en materia de prevención y atención de la violencia contra las mujeres generados por INDESOL</t>
  </si>
  <si>
    <t>Documento</t>
  </si>
  <si>
    <t>Gestión-Economía-Anual</t>
  </si>
  <si>
    <r>
      <t>Porcentaje del personal de las IMEF que coordina la operación del PAIMEF que asiste a los eventos de formación, capacitación y actualización realizados por el Indesol</t>
    </r>
    <r>
      <rPr>
        <i/>
        <sz val="10"/>
        <color indexed="30"/>
        <rFont val="Soberana Sans"/>
        <family val="3"/>
      </rPr>
      <t xml:space="preserve">
</t>
    </r>
  </si>
  <si>
    <t>(Número de personas adscritas a las IMEF que asisten a los eventos de formación, capacitación y actualización realizados por el Indesol / Número de personas adscritas a las IMEF convocadas a los eventos de formación, capacitación y actualización realizados por el Indesol) * 100</t>
  </si>
  <si>
    <t>A 1 Convenios suscritos</t>
  </si>
  <si>
    <r>
      <t xml:space="preserve">Número de convenios firmados </t>
    </r>
    <r>
      <rPr>
        <i/>
        <sz val="10"/>
        <color indexed="30"/>
        <rFont val="Soberana Sans"/>
        <family val="3"/>
      </rPr>
      <t xml:space="preserve">
</t>
    </r>
  </si>
  <si>
    <t xml:space="preserve">Sumatoria del número de convenios suscritos entre las IMEF y el Indesol para la entrega de recursos del PAIMEF </t>
  </si>
  <si>
    <t>Convenio</t>
  </si>
  <si>
    <r>
      <t xml:space="preserve">Presupuesto Otorgado a las IMEF </t>
    </r>
    <r>
      <rPr>
        <i/>
        <sz val="10"/>
        <color indexed="30"/>
        <rFont val="Soberana Sans"/>
        <family val="3"/>
      </rPr>
      <t xml:space="preserve">
</t>
    </r>
  </si>
  <si>
    <t>Monto total de recursos del PAIMEF otorgados a las IMEF para la ejecución de proyectos del PAIMEF.</t>
  </si>
  <si>
    <t>A 2 Visitas de seguimiento realizadas.</t>
  </si>
  <si>
    <r>
      <t>Número de visitas de seguimiento realizadas a cada IMEF para verificación operativa.</t>
    </r>
    <r>
      <rPr>
        <i/>
        <sz val="10"/>
        <color indexed="30"/>
        <rFont val="Soberana Sans"/>
        <family val="3"/>
      </rPr>
      <t xml:space="preserve">
</t>
    </r>
  </si>
  <si>
    <t>Sumatoria de las visitas de seguimiento físico en campo realizadas en el período establecido</t>
  </si>
  <si>
    <t>Visita</t>
  </si>
  <si>
    <t>Gestión-Economía-Cuatrimestral</t>
  </si>
  <si>
    <t>B 3 Planeación y programación de las acciones estratégicas para el adelanto de las IMEF, en materia de prevención y atención de la violencia contra las mujeres, realizadas</t>
  </si>
  <si>
    <r>
      <t xml:space="preserve">Número de procesos de planeación realizadas </t>
    </r>
    <r>
      <rPr>
        <i/>
        <sz val="10"/>
        <color indexed="30"/>
        <rFont val="Soberana Sans"/>
        <family val="3"/>
      </rPr>
      <t xml:space="preserve">
</t>
    </r>
  </si>
  <si>
    <t>Sumatoria de los Procesos de planeación de las Acciones estratégicas para el adelanto de las IMEF, en materia de prevención y atención de la violencia contra las mujeres</t>
  </si>
  <si>
    <t>Proceso</t>
  </si>
  <si>
    <r>
      <t>Elaboración de Términos de referencia para las acciones estratégicas para el adelanto de las IMEF, en materia de prevención y atención de la violencia contra las mujeres, realizadas.</t>
    </r>
    <r>
      <rPr>
        <i/>
        <sz val="10"/>
        <color indexed="30"/>
        <rFont val="Soberana Sans"/>
        <family val="3"/>
      </rPr>
      <t xml:space="preserve">
</t>
    </r>
  </si>
  <si>
    <t>Número total de términos de referencia elaborados  para las acciones estratégicas para el adelanto de las IMEF, en materia de prevención y atención de la violencia contra las mujeres, realizadas.</t>
  </si>
  <si>
    <t>Términos de Referencia</t>
  </si>
  <si>
    <r>
      <t xml:space="preserve">Índice de Fortalecimiento Institucional de las IMEF para prevenir y atender la violencia contra las mujeres.
</t>
    </r>
    <r>
      <rPr>
        <sz val="10"/>
        <rFont val="Soberana Sans"/>
        <family val="2"/>
      </rPr>
      <t xml:space="preserve"> Causa : Las IMEF enfocaron sus esfuerzos para integrar las recomendaciones de la medición 2012, a fin de favorecer el Fortalecimiento Institucional para prevenir y atender la violencia contra las mujeres. Efecto: Las capacidades institucionales de las IMEF se vieron favorecida siendo este un componente del Índice de Fortalecimiento Institucional (IFI),  por tal motivo para el ejercicio 2013 se obtuvo una mayor puntuación. Otros Motivos:El resultado de la medición del Índice de Fortalecimiento Institucional  se encuentra entre 0 y 1, para la carga ante el PASH no fue posible capturar que la meta esperada era de 0.70, al parecer por una restricción del mismo sistema, por ello finalmente la meta queda captura como 70/100 que es una equivalencia.        El resultado final fue de 0.71  y por ello el resultado final se captura como 71/100.</t>
    </r>
  </si>
  <si>
    <r>
      <t xml:space="preserve">Número de proyectos  de las Instancias de Mujeres en las Entidades Federativas (IMEF) apoyados en el período establecido
</t>
    </r>
    <r>
      <rPr>
        <sz val="10"/>
        <rFont val="Soberana Sans"/>
        <family val="2"/>
      </rPr>
      <t xml:space="preserve"> Causa : Para el ejercicio fiscal 2013, las IMEF de Tamaulipas y Tabasco decidieron no participar por circunstancias particulares en estas entidades federativas. Efecto: Por circunstancias ajenas al PAIMEF, no fue posible cumplir con la meta establecida de 32 proyectos apoyados para el ejercicio fiscal 2013. Otros Motivos:.</t>
    </r>
  </si>
  <si>
    <r>
      <t xml:space="preserve">Porcentaje de recursos destinados a acciones tendientes a la institucionalización de la prevención y la atención de la violencia contra las mujeres.
</t>
    </r>
    <r>
      <rPr>
        <sz val="10"/>
        <rFont val="Soberana Sans"/>
        <family val="2"/>
      </rPr>
      <t xml:space="preserve"> Causa : Las IMEF privilegiaron la aplicación de recursos a realizar acciones de atención, dada la demanda de acciones de difusión implementadas en las entidades federativas. Efecto: La estimación de recursos que originalmente se encontraban contemplados para las acciones de institucionalizacion se vieron afectadas con la del ejercicio fiscal anterior. Otros Motivos:.</t>
    </r>
  </si>
  <si>
    <r>
      <t xml:space="preserve">Porcentaje de recursos que otorga el PAIMEF para la atención especializada a las mujeres, y en su caso, a sus hijas e hijos, en situación de violencia, desde la perspectiva de género y en el marco de los derechos humanos, el desarrollo humano y la multiculturalidad.
</t>
    </r>
    <r>
      <rPr>
        <sz val="10"/>
        <rFont val="Soberana Sans"/>
        <family val="2"/>
      </rPr>
      <t xml:space="preserve"> Causa : Las IMEF privilegiaron la aplicación de recursos a realizar acciones de atención, dada la demanda de acciones de difusión implementadas en las entidades federativas. Efecto: La estimación de recursos que originalmente se encontraban contemplados para las acciones de atención, fue superada de acuerdo a la meta del  ejercicio fiscal 2013. Otros Motivos:.</t>
    </r>
  </si>
  <si>
    <r>
      <t xml:space="preserve">Porcentaje del personal de las IMEF que coordina la operación del PAIMEF que asiste a los eventos de formación, capacitación y actualización realizados por el Indesol
</t>
    </r>
    <r>
      <rPr>
        <sz val="10"/>
        <rFont val="Soberana Sans"/>
        <family val="2"/>
      </rPr>
      <t xml:space="preserve"> Causa : Debido a las transiciones y a los cambios de administraciones de las representaciones estatales, parte del personal de recién ingreso de las IMEF asistieron a los eventos convocados para recibir la capacitación acerca de las acciones del programa. Efecto: Las acciones de capacitación y sensibilización realizadas, tuvieron una concurrencia por encima de lo esperado. Otros Motivos:.</t>
    </r>
  </si>
  <si>
    <r>
      <t xml:space="preserve">Número de convenios firmados 
</t>
    </r>
    <r>
      <rPr>
        <sz val="10"/>
        <rFont val="Soberana Sans"/>
        <family val="2"/>
      </rPr>
      <t xml:space="preserve"> Causa : Para el presente ejercicio fiscal 2013, las IMEF de Tamaulipas y Tabasco decidieron no participar con la presentación de su proyecto. Efecto: El total de convenios firmados por las IMEF fue de 30, para el ejercicio fiscal 2013. Otros Motivos:.</t>
    </r>
  </si>
  <si>
    <r>
      <t xml:space="preserve">Presupuesto Otorgado a las IMEF 
</t>
    </r>
    <r>
      <rPr>
        <sz val="10"/>
        <rFont val="Soberana Sans"/>
        <family val="2"/>
      </rPr>
      <t xml:space="preserve"> Causa : Considerando que a nivel central se tuvieron afectaciones presupuestales del programa conforme a las medidas de austeridad aplicadas en el ejercicio fiscal 2013 y a la implementación de estrategias de apoyo al Sistema Nacional para la Cruzada contra el Hambre conforme al decreto  publicado en el DOF el 22 de enero de 2013, dichas medidas impactaron de forma directa a la entrega de recursos a las IMEF. Efecto:  La diferencia  del recurso reportado corresponde al recurso no ejercido, el cual se encuentra en proceso de reintegro a la TESOFE. Otros Motivos:.</t>
    </r>
  </si>
  <si>
    <r>
      <t xml:space="preserve">Número de visitas de seguimiento realizadas a cada IMEF para verificación operativa.
</t>
    </r>
    <r>
      <rPr>
        <sz val="10"/>
        <rFont val="Soberana Sans"/>
        <family val="2"/>
      </rPr>
      <t xml:space="preserve"> Causa : Debido a las condiciones de violencia social que prevalece en algunos estados de la república y a  las condiciones climáticas, el programa tomo la decisión de posponer las visitas restantes para el siguiente ejercicio fiscal. Efecto: Se visitaron 15 entidades federativas a fin de integrar un informe sobre los resultado del seguimiento  físico en campo, en los términos del numeral 7.1 de las Reglas de Operación del PAIMEF 2013. Otros Motivos:.</t>
    </r>
  </si>
  <si>
    <t>S174</t>
  </si>
  <si>
    <t>Programa de estancias infantiles para apoyar a madres trabajadoras</t>
  </si>
  <si>
    <t>211-Dirección General de Políticas Sociales</t>
  </si>
  <si>
    <t>11 - Apoyo a las madres trabajadoras en el cuidado de sus hijos</t>
  </si>
  <si>
    <t>Contribuir a la igualdad de oportunidades entre mujeres y hombres para ejercer sus derechos, mediante la reducción de la brecha en materia de acceso y permanencia laboral a madres que trabajan, buscan empleo o estudian y los padres solos con hijos o niños bajo su cuidado con ingreso per cápita por debajo de la línea de bienestar.</t>
  </si>
  <si>
    <r>
      <t>Porcentaje de beneficiarios que tenían trabajo al momento de ingreso al programa y mientras permanecen en él logran mantenerse en un trabajo remunerado.</t>
    </r>
    <r>
      <rPr>
        <i/>
        <sz val="10"/>
        <color indexed="30"/>
        <rFont val="Soberana Sans"/>
        <family val="3"/>
      </rPr>
      <t xml:space="preserve">
</t>
    </r>
  </si>
  <si>
    <t>(No. de beneficiarios que al momento de ingreso al programa tenían trabajo y mientras permanecen en él logran mantenerse en un trabajo remunerado / Total de beneficiarios que pertenecen al Programa y al momento de ingreso tenían un trabajo remunerado)*100</t>
  </si>
  <si>
    <r>
      <t>Porcentaje de beneficiarios que permaneciendo más de dos meses en el Programa accedieron a un trabajo remunerado.</t>
    </r>
    <r>
      <rPr>
        <i/>
        <sz val="10"/>
        <color indexed="30"/>
        <rFont val="Soberana Sans"/>
        <family val="3"/>
      </rPr>
      <t xml:space="preserve">
</t>
    </r>
  </si>
  <si>
    <t>(No. de beneficiarios que al momento de ingreso al programa no tenían un trabajo remunerado y una vez que han permanecido más de dos meses en el Programa, accedieron a un trabajo remunerado / Total de beneficiarios que han permanecido más de dos meses en el programa y al momento de ingreso no tenían un trabajo remunerado)*100</t>
  </si>
  <si>
    <t>Las madres que trabajan, buscan empleo o estudian y padres solos con hijos o niños bajo su cuidado con ingreso per cápita por debajo de la línea de bienestar y que no tienen acceso al servicio de cuidado infantil , cuentan con mayor tiempo disponible para trabajar, estudiar o buscar trabajo gracias al uso de los servicios de cuidado infantil que contribuyen al desarrollo de las(os) niñas(os).</t>
  </si>
  <si>
    <r>
      <t>Porcentaje de beneficiarios que utilizan el tiempo disponible generado por el uso de los servicios de cuidado infantil para trabajar, buscar empleo, capacitarse o estudiar.</t>
    </r>
    <r>
      <rPr>
        <i/>
        <sz val="10"/>
        <color indexed="30"/>
        <rFont val="Soberana Sans"/>
        <family val="3"/>
      </rPr>
      <t xml:space="preserve">
</t>
    </r>
  </si>
  <si>
    <t>(No. de beneficiarios que utilizan el tiempo que los niños están en la Estancia Infantil para permanecer o buscar empleo, capacitarse o estudiar / Total de beneficiarios encuestados)*100</t>
  </si>
  <si>
    <r>
      <t>Promedio de horas semanales de que disponen los beneficiarios para acceder, permanecer en el mercado laboral o en su caso estudiar.</t>
    </r>
    <r>
      <rPr>
        <i/>
        <sz val="10"/>
        <color indexed="30"/>
        <rFont val="Soberana Sans"/>
        <family val="3"/>
      </rPr>
      <t xml:space="preserve">
</t>
    </r>
  </si>
  <si>
    <t>(Suma de horas semanales que cada niño asiste a la estancia, en la semana de referencia del estudio / No. de niños del estudio)</t>
  </si>
  <si>
    <t>Hora de servicio</t>
  </si>
  <si>
    <r>
      <t>Índice de Desarrollo Infantil de hijos o niños al cuidado de beneficiarios que reciben servicio de la Red de Estancias Infantiles.</t>
    </r>
    <r>
      <rPr>
        <i/>
        <sz val="10"/>
        <color indexed="30"/>
        <rFont val="Soberana Sans"/>
        <family val="3"/>
      </rPr>
      <t xml:space="preserve">
</t>
    </r>
  </si>
  <si>
    <t>Índice de Desarrollo Infantil.</t>
  </si>
  <si>
    <t>Punto</t>
  </si>
  <si>
    <t>Estratégico-Calidad-Anual</t>
  </si>
  <si>
    <t>A Apoyos entregados para cubrir parcialmente el costo de los servicios de atención y cuidado infantil para hijas(os) o niñas(os) bajo el cuidado de madres trabajadoras y padres solos con ingreso por debajo de la línea de bienestar.</t>
  </si>
  <si>
    <r>
      <t>Hijos o niños al cuidado de beneficiarios en la modalidad de Apoyo a Madres Trabajadoras y Padres Solos que reciben servicio de la Red de Estancias Infantiles.</t>
    </r>
    <r>
      <rPr>
        <i/>
        <sz val="10"/>
        <color indexed="30"/>
        <rFont val="Soberana Sans"/>
        <family val="3"/>
      </rPr>
      <t xml:space="preserve">
Indicador Seleccionado</t>
    </r>
  </si>
  <si>
    <t>Total de hijos o niños al cuidado de beneficiarios en la modalidad de Apoyo a Madres Trabajadoras y Padres Solos inscritos en la Red de Estancias Infantiles al momento de la medición.</t>
  </si>
  <si>
    <r>
      <t>Beneficiarios del Programa en la Modalidad de Apoyo a Madres Trabajadoras y Padres solos.</t>
    </r>
    <r>
      <rPr>
        <i/>
        <sz val="10"/>
        <color indexed="30"/>
        <rFont val="Soberana Sans"/>
        <family val="3"/>
      </rPr>
      <t xml:space="preserve">
Indicador Seleccionado</t>
    </r>
  </si>
  <si>
    <t>Total de beneficiarios con niños inscritos en la Red de Estancias Infantiles al momento de la medición y reciben apoyo del Programa para el pago de los servicios de cuidado y atención infantil.</t>
  </si>
  <si>
    <r>
      <t>Hijos o niños al cuidado de beneficiarios en la Modalidad de Apoyo a Madres Trabajadoras y Padres Solos atendidos en la Red de Estancias Infantiles desde el inicio de la operación del Programa.</t>
    </r>
    <r>
      <rPr>
        <i/>
        <sz val="10"/>
        <color indexed="30"/>
        <rFont val="Soberana Sans"/>
        <family val="3"/>
      </rPr>
      <t xml:space="preserve">
</t>
    </r>
  </si>
  <si>
    <t>Total de hijos o niños al cuidado de beneficiarios en la modalidad de Apoyo a Madres Trabajadoras y Padres Solos atendidos en la Red de Estancias Infantiles desde que el Programa inició operaciones.</t>
  </si>
  <si>
    <r>
      <t>Beneficiarios en la Modalidad de Apoyo a Madres Trabajadoras y Padres Solos atendidos desde el inicio de operación del Programa</t>
    </r>
    <r>
      <rPr>
        <i/>
        <sz val="10"/>
        <color indexed="30"/>
        <rFont val="Soberana Sans"/>
        <family val="3"/>
      </rPr>
      <t xml:space="preserve">
</t>
    </r>
  </si>
  <si>
    <t>Total de beneficiarios que han tenido niños atendidos en la Red de Estancias Infantiles desde que el Programa inicio operaciones.</t>
  </si>
  <si>
    <t>B Estancias para el cuidado infantil afiliadas a la Red de Estancias Infantiles.</t>
  </si>
  <si>
    <r>
      <t>Número de Estancias Infantiles operando en la Red de Estancias Infantiles.</t>
    </r>
    <r>
      <rPr>
        <i/>
        <sz val="10"/>
        <color indexed="30"/>
        <rFont val="Soberana Sans"/>
        <family val="3"/>
      </rPr>
      <t xml:space="preserve">
Indicador Seleccionado</t>
    </r>
  </si>
  <si>
    <t>Total de Estancias Infantiles operando en la Red al momento de la medición.</t>
  </si>
  <si>
    <t>Estancia</t>
  </si>
  <si>
    <t>C Apoyos encaminados a garantizar la calidad en los servicios de cuidado y atención infantil en la Red de Estancias Infantiles, otorgados en coordinación con el DIF Nacional.</t>
  </si>
  <si>
    <r>
      <t>Satisfacción con la calidad en los servicios de cuidado infantil.</t>
    </r>
    <r>
      <rPr>
        <i/>
        <sz val="10"/>
        <color indexed="30"/>
        <rFont val="Soberana Sans"/>
        <family val="3"/>
      </rPr>
      <t xml:space="preserve">
</t>
    </r>
  </si>
  <si>
    <t>Índice de satisfacción obtenido con base en el Informe de encuesta a Beneficiarios del Programa.</t>
  </si>
  <si>
    <t>A 1 Programación de apoyos a madres trabajadoras y padres solos con hijos o niños que cumplan con los criterios de elegibilidad establecidos en las Reglas de Operación del Programa</t>
  </si>
  <si>
    <r>
      <t>Porcentaje del presupuesto ejercido para la gestión de apoyos a madres trabajadoras y padres solos, respecto al presupuesto programado.</t>
    </r>
    <r>
      <rPr>
        <i/>
        <sz val="10"/>
        <color indexed="30"/>
        <rFont val="Soberana Sans"/>
        <family val="3"/>
      </rPr>
      <t xml:space="preserve">
</t>
    </r>
  </si>
  <si>
    <t>(Presupuesto ejercido para la gestión de apoyos a madres trabajadoras y padres solos / presupuesto programado  para la gestión de apoyos a madres trabajadoras y padres solos)*100</t>
  </si>
  <si>
    <r>
      <t>Índice de pago oportuno en la Modalidad de Apoyo a Madres Trabajadoras y Padres Solos.</t>
    </r>
    <r>
      <rPr>
        <i/>
        <sz val="10"/>
        <color indexed="30"/>
        <rFont val="Soberana Sans"/>
        <family val="3"/>
      </rPr>
      <t xml:space="preserve">
</t>
    </r>
  </si>
  <si>
    <t>Promedio Nacional del índice de pago oportuno (15 días/días promedio de pago efectivo)*100</t>
  </si>
  <si>
    <t>B 2 Programación de apoyos a personas oferentes de los servicios de estancias para el cuidado infantil.</t>
  </si>
  <si>
    <r>
      <t>Porcentaje del presupuesto ejercido para la gestión de apoyos a personas oferentes de los servicios de estancias infantiles respecto al presupuesto programado.</t>
    </r>
    <r>
      <rPr>
        <i/>
        <sz val="10"/>
        <color indexed="30"/>
        <rFont val="Soberana Sans"/>
        <family val="3"/>
      </rPr>
      <t xml:space="preserve">
</t>
    </r>
  </si>
  <si>
    <t>(Presupuesto ejercido para la gestión de apoyos a personas oferentes de los servicios de estancias para el cuidado infantil  / presupuesto programado para la gestión de apoyos a personas oferentes de los servicios de estancias para el cuidado infantil)*100.</t>
  </si>
  <si>
    <t>C 3 Coordinación con el DIF Nacional para llevar a cabo las actividades de capacitación y de supervisión de las Estancias Infantiles afiliadas a la Red.</t>
  </si>
  <si>
    <r>
      <t>Porcentaje de Responsables de Estancias Infantiles que acuden a las capacitaciones complementarias convocadas por el DIF Nacional</t>
    </r>
    <r>
      <rPr>
        <i/>
        <sz val="10"/>
        <color indexed="30"/>
        <rFont val="Soberana Sans"/>
        <family val="3"/>
      </rPr>
      <t xml:space="preserve">
</t>
    </r>
  </si>
  <si>
    <t>(No. de responsables de estancias convocadas que asistieron a las capacitaciones complementarias realizadas en el semestre / No. Responsables convocadas en el semestre)*100</t>
  </si>
  <si>
    <r>
      <t>Porcentaje de cumplimiento de las reuniones programadas entre el DIF Nacional y la Sedesol para las actividades de capacitación y supervisión  a las Responsables de Estancias Infantiles afiliadas a la Red</t>
    </r>
    <r>
      <rPr>
        <i/>
        <sz val="10"/>
        <color indexed="30"/>
        <rFont val="Soberana Sans"/>
        <family val="3"/>
      </rPr>
      <t xml:space="preserve">
</t>
    </r>
  </si>
  <si>
    <t>(No. de reuniones realizadas entre el DIF y la Sedesol para coordinar las actividad de capacitación y supervisión de las Estancias Infantiles / No. de reuniones programadas en el semestre)*100</t>
  </si>
  <si>
    <t>Gestión-Calidad-Semestral</t>
  </si>
  <si>
    <t>C 4 Validación de criterios de las Estancias Infantiles afiliadas a la Red de Estancias Infantiles en materia de operación, infraestructura y equipamiento establecidos en las Reglas de Operación del Programa.</t>
  </si>
  <si>
    <r>
      <t>Porcentaje de responsables de estancias infantiles que reciben al menos dos visitas de supervisión en materia de operación, infraestructura y equipamiento en el semestre</t>
    </r>
    <r>
      <rPr>
        <i/>
        <sz val="10"/>
        <color indexed="30"/>
        <rFont val="Soberana Sans"/>
        <family val="3"/>
      </rPr>
      <t xml:space="preserve">
</t>
    </r>
  </si>
  <si>
    <t>(No. de Estancias Infantiles que reciben al menos 2 visitas de supervisión en materia de operación, infraestructura y equipamiento en el semestre / No. de Estancias Infantiles del Programa operando.)*100</t>
  </si>
  <si>
    <t>C 5 Validación de criterios de las Estancias Infantiles afiliadas a la Red de Estancias Infantiles en materia de cuidado y atención infantil establecidos en las Reglas de Operación del Programa.</t>
  </si>
  <si>
    <r>
      <t>Porcentaje de responsables de estancias infantiles que reciben al menos dos visitas de supervisión en materia de cuidado y atención infantil en el semestre</t>
    </r>
    <r>
      <rPr>
        <i/>
        <sz val="10"/>
        <color indexed="30"/>
        <rFont val="Soberana Sans"/>
        <family val="3"/>
      </rPr>
      <t xml:space="preserve">
</t>
    </r>
  </si>
  <si>
    <t>(No de Estancias Infantiles que reciben al menos 2 visitas de supervisión a los aspectos de cuidado y atención infantil durante el semestre / No. de Estancias Infantiles del Programa operando.)*100</t>
  </si>
  <si>
    <r>
      <t xml:space="preserve">Porcentaje de beneficiarios que tenían trabajo al momento de ingreso al programa y mientras permanecen en él logran mantenerse en un trabajo remunerado.
</t>
    </r>
    <r>
      <rPr>
        <sz val="10"/>
        <rFont val="Soberana Sans"/>
        <family val="2"/>
      </rPr>
      <t xml:space="preserve"> Causa : Este indicador se calcula a partir de un levantamiento de una Encuesta Nacional a Beneficiarios. El ejercicio se realizó en las 32 entidades federativas con una muestra representativa con un intervalo de confianza del 95%.        Respecto al avance del indicador, las condiciones que afectan al mercado laboral (macroeconómicas, discriminación, condiciones regionales de empleo) se han mantenido, por lo que una mayor proporción de los beneficiarios del Programa que SI tenían trabajo, señalan que actualmente trabajan, laboran en lo mismo que antes de entrar al programa y trabajan y estudian. En ese sentido, conforme a la tendencia que ha observado el indicador en ejercicios fiscales anteriores era que el 85% de los beneficiarios que teniendo trabajo al momento de ingresar al Programa lo mantenían. Sin embargo, fue el 95% de los beneficiarios los que dadas las condiciones que afectan el mercado laboral, lograron mantenerse en un trabajo remunerado.       Adicionalmente, el Programa realizó cálculos ponderados por el factor de expansión, resultando un numerador de 166,936 y un denominador de 173,366 obteniendo como resultado 96.29. Efecto:  Otros Motivos:</t>
    </r>
  </si>
  <si>
    <r>
      <t xml:space="preserve">Porcentaje de beneficiarios que permaneciendo más de dos meses en el Programa accedieron a un trabajo remunerado.
</t>
    </r>
    <r>
      <rPr>
        <sz val="10"/>
        <rFont val="Soberana Sans"/>
        <family val="2"/>
      </rPr>
      <t xml:space="preserve"> Causa : Este indicador se calcula a partir del levantamiento de una Encuesta Nacional a Beneficiarios, realizada durante los meses de agosto a noviembre de 2013. El ejercicio se realizó en las 32 entidades federativas con una muestra representativa con un intervalo de confianza del 95%.       No obstante que se percibe que las condiciones que afectan al mercado laboral se han mantenido como lo muestra el desempeño del indicador que refiere a los beneficiarios que han mantenido un empleo, en el caso de los beneficiarios que logran acceder a un trabajo remunerado, solo 76% de ellos lo ha conseguido.       En ese sentido, si bien el Programa contempla que los beneficiarios utilicen el tiempo para buscar un empleo, estudiar o capacitarse y en el largo plazo obtener un empleo, el Programa no cuenta con los medios para que efectivamente los beneficiarios utilicen el tiempo para acceder a un empleo formal. Pese a que la meta proyectada era que el 85% accedieran a un trabajo remunerado el uso del tiempo por parte de los beneficiarios no fue para acceder a un empleo remunerado.      Adicionalmente, el Programa realizó cálculos ponderados por el factor de expansión, resultando un numerador de 60,876 y un denominador de 80,274 obteniendo como resultado 75.84.    Efecto:  Otros Motivos:</t>
    </r>
  </si>
  <si>
    <r>
      <t xml:space="preserve">Porcentaje de beneficiarios que utilizan el tiempo disponible generado por el uso de los servicios de cuidado infantil para trabajar, buscar empleo, capacitarse o estudiar.
</t>
    </r>
    <r>
      <rPr>
        <sz val="10"/>
        <rFont val="Soberana Sans"/>
        <family val="2"/>
      </rPr>
      <t xml:space="preserve"> Causa : El cumplimiento de la meta de este indicador se superó en un 2%, los cual es indicativo de que una mayor proporción de los beneficiarios utilizan el tiempo que sus hijos pasan en las Estancias Infantiles para trabajar, buscar empleo, capacitarse o estudiar, cumpliendo con el objetivo del programa. Efecto:  Otros Motivos:</t>
    </r>
  </si>
  <si>
    <r>
      <t xml:space="preserve">Promedio de horas semanales de que disponen los beneficiarios para acceder, permanecer en el mercado laboral o en su caso estudiar.
</t>
    </r>
    <r>
      <rPr>
        <sz val="10"/>
        <rFont val="Soberana Sans"/>
        <family val="2"/>
      </rPr>
      <t xml:space="preserve"> Causa : Las Reglas de operación del Programa establecen como obligación que los oferentes del servicio de Estancias Infantiles deben brindar un mínimo de 8 horas diarias de servicios de cuidado y atención infantil; sin embargo, en la modalidad de apoyo a Madres Trabajadoras y Padres Solos los beneficiarios tienen la posibilidad de elegir el horario de atención que requieran para los niños bajo su cuidado, ya sea igual o menor a 8 horas, es decir existe flexibilidad para utilizar los servicios de cuidado infantil, conforme lo estimen conveniente o adecuado a sus necesidades. Efecto:  Otros Motivos:</t>
    </r>
  </si>
  <si>
    <r>
      <t xml:space="preserve">Índice de Desarrollo Infantil de hijos o niños al cuidado de beneficiarios que reciben servicio de la Red de Estancias Infantiles.
</t>
    </r>
    <r>
      <rPr>
        <sz val="10"/>
        <rFont val="Soberana Sans"/>
        <family val="2"/>
      </rPr>
      <t xml:space="preserve"> Causa : La variación en el cumplimiento del indicador se debe a los siguientes factores:      1) Durante el ejercicio fiscal, las visitas de supervisión se enfocaron en brindar acompañamiento y asesoría a las Responsables, para que las actividades diarias se llevaran a cabo con base en el Modelo de Atención Integral del Programa de Estancias Infantiles, ello permitió que los niños que asistieron a las Estancias Infantiles recibieran una mejor atención, toda vez que el objetivo del Modelo es generar condiciones que impacten en el desarrollo de los niños, lo que se observó al realizar la evaluación del desarrollo para el indicador.      2) Durante el ejercicio fiscal, las Responsables aplicaron y consolidaron en la operación diaria las actividades de desarrollo que contiene el Modelo de Atención Integral del Programa de Estancias Infantiles, lo que permitió que  contaran con las herramientas y conocimientos para alcanzar el objetivo del Modelo, que es impactar en el desarrollo de los niños, ello se vio reflejado en la medición del indicador. Efecto:  Otros Motivos:</t>
    </r>
  </si>
  <si>
    <r>
      <t xml:space="preserve">Hijos o niños al cuidado de beneficiarios en la modalidad de Apoyo a Madres Trabajadoras y Padres Solos que reciben servicio de la Red de Estancias Infantiles.
</t>
    </r>
    <r>
      <rPr>
        <sz val="10"/>
        <rFont val="Soberana Sans"/>
        <family val="2"/>
      </rPr>
      <t xml:space="preserve"> Causa : Durante el segundo semestre del ejercicio fiscal la tasa de incorporación de niños al Programa observó una tendencia positiva, lo que llevo a superar la meta proyectada en 5%.      Asimismo, la cobertura del Programa ha obtenido resultados sobresalientes por su magnitud y su aporte a la oferta de servicios de cuidado infantil. Efecto:  Otros Motivos:</t>
    </r>
  </si>
  <si>
    <r>
      <t xml:space="preserve">Beneficiarios del Programa en la Modalidad de Apoyo a Madres Trabajadoras y Padres solos.
</t>
    </r>
    <r>
      <rPr>
        <sz val="10"/>
        <rFont val="Soberana Sans"/>
        <family val="2"/>
      </rPr>
      <t xml:space="preserve"> Causa : La diferencia absoluta entre el avance del indicador y el cumplimiento de la meta fue de 19,269, lo cual representa en términos porcentuales un cumplimiento por arriba de la meta del 7%.       Toda vez que este indicador mantiene relación con el de niños al cuidado de beneficiarios en la modalidad de Apoyo a Madres Trabajadoras y Padres Solos, la superación de la meta proyectada es indicativa de que se está logrando atender a una mayor parte de la población objetivo. Efecto:  Otros Motivos:</t>
    </r>
  </si>
  <si>
    <r>
      <t xml:space="preserve">Hijos o niños al cuidado de beneficiarios en la Modalidad de Apoyo a Madres Trabajadoras y Padres Solos atendidos en la Red de Estancias Infantiles desde el inicio de la operación del Programa.
</t>
    </r>
    <r>
      <rPr>
        <sz val="10"/>
        <rFont val="Soberana Sans"/>
        <family val="2"/>
      </rPr>
      <t xml:space="preserve"> Causa : La meta trimestral estimada del acumulado de niñas(os) que han sido atendidas(os) en las estancias infantiles se superó, debido a que se presentó una alta rotación por cumplimiento de edad límite de atención de niñas(os) en las estancias, es decir, que entraron más niñas(os) que las que salieron por cumplir 4 o 6 años, de acuerdo con las Reglas de Operación. Asimismo, el aumento en la capacidad ocupada de algunas Estancias contribuyó a superar la meta del indicador.        Asimismo, la cobertura del Programa ha obtenido resultados sobresalientes por su magnitud y su aporte a la oferta de servicios de cuidado infantil. Efecto:  Otros Motivos:</t>
    </r>
  </si>
  <si>
    <r>
      <t xml:space="preserve">Beneficiarios en la Modalidad de Apoyo a Madres Trabajadoras y Padres Solos atendidos desde el inicio de operación del Programa
</t>
    </r>
    <r>
      <rPr>
        <sz val="10"/>
        <rFont val="Soberana Sans"/>
        <family val="2"/>
      </rPr>
      <t xml:space="preserve"> Causa : Este indicador da cuenta de aquellos beneficiarios que han sido atendidos por el Programa, en ese sentido, además de que su tendencia es positiva, la meta proyectada que se estableció para este indicador se superó debido a la rotación de aquellos beneficiarios cuyos hijos al cumplir el límite de edad dejan de ser beneficiarios del Programa. Efecto:  Otros Motivos:</t>
    </r>
  </si>
  <si>
    <r>
      <t xml:space="preserve">Número de Estancias Infantiles operando en la Red de Estancias Infantiles.
</t>
    </r>
    <r>
      <rPr>
        <sz val="10"/>
        <rFont val="Soberana Sans"/>
        <family val="2"/>
      </rPr>
      <t xml:space="preserve"> Causa : La diferencia absoluta entre el avance del indicador y el cumplimiento de la meta fue de 64, lo cual representa en términos porcentuales un cumplimiento por arriba de la meta del 0.69%.  Efecto:  Otros Motivos:</t>
    </r>
  </si>
  <si>
    <r>
      <t xml:space="preserve">Satisfacción con la calidad en los servicios de cuidado infantil.
</t>
    </r>
    <r>
      <rPr>
        <sz val="10"/>
        <rFont val="Soberana Sans"/>
        <family val="2"/>
      </rPr>
      <t xml:space="preserve"> Causa : En la encuesta correspondiente al segundo semestre de 2013, se observa el 91.48% de los beneficiarios del Programa de Estancias Infantiles para Apoyar a Madres Trabajadoras se encuentran satisfechos con la calidad de los servicios que se brindan en la Red de Estancias Infantiles. La variación en el resultado con respecto a la meta se debe al margen de precisión que presenta el instrumento estadísticamente representativo con el que se obtiene la información. Efecto:  Otros Motivos:</t>
    </r>
  </si>
  <si>
    <r>
      <t xml:space="preserve">Porcentaje del presupuesto ejercido para la gestión de apoyos a madres trabajadoras y padres solos, respecto al presupuesto programado.
</t>
    </r>
    <r>
      <rPr>
        <sz val="10"/>
        <rFont val="Soberana Sans"/>
        <family val="2"/>
      </rPr>
      <t xml:space="preserve"> Causa : No obstante que la meta del Programa a los Beneficiarios inscritos en la modalidad de Apoyo a Madres Trabajadoras y Padres registró un cumplimiento por arriba del 7%, así como el de niños que reciben servicio de la Red de Estancias Infantiles, el cual superó la meta proyectada en un 5%, el presupuesto proyectado para la gestión de apoyos a madres trabajadoras y padres solos, no se cumplió debido a que se dieron de baja Estancias  como consecuencia de que en 2013, las Reglas de Operación reforzaron el aspecto de protección civil estableciendo que las Estancias deberían entregar conjuntamente el Programa Interno de Protección Civil (PIPC) y el documento en el cual la autoridad competente en materia de Protección Civil avale que el entorno de la Estancia Infantil ofrece condiciones adecuadas para brindar el servicio de cuidado y atención infantil.      En ese sentido, no fue posible atender un mayor número de beneficiarios y con ello ejercer una mayor proporción del presupuesto destinado al subsidio que otorga el Programa. Efecto:  Otros Motivos:</t>
    </r>
  </si>
  <si>
    <r>
      <t xml:space="preserve">Índice de pago oportuno en la Modalidad de Apoyo a Madres Trabajadoras y Padres Solos.
</t>
    </r>
    <r>
      <rPr>
        <sz val="10"/>
        <rFont val="Soberana Sans"/>
        <family val="2"/>
      </rPr>
      <t xml:space="preserve"> Causa : Derivado del proceso de bancarización para el pago del subsidio a las Responsables de las Estancias Infantiles a la Red, consistente en hacer el pago mediante transferencias bancarias, el proceso de pago requirió un menor número de días para llevarlo a cabo. Efecto:  Otros Motivos:</t>
    </r>
  </si>
  <si>
    <r>
      <t xml:space="preserve">Porcentaje del presupuesto ejercido para la gestión de apoyos a personas oferentes de los servicios de estancias infantiles respecto al presupuesto programado.
</t>
    </r>
    <r>
      <rPr>
        <sz val="10"/>
        <rFont val="Soberana Sans"/>
        <family val="2"/>
      </rPr>
      <t xml:space="preserve"> Causa : En 2013, las Reglas de Operación reforzaron el aspecto de protección civil toda vez que se estableció que las Estancias Infantiles deberían entregar conjuntamente el Programa Interno de Protección Civil (PIPC) y el documento en el cual la autoridad competente en materia de Protección Civil avale que el entorno de la Estancia Infantil ofrece condiciones adecuadas para brindar el servicio de cuidado y atención infantil, o en su caso, el PIPC deberá contener un análisis de los riesgos externos del inmueble que ocupa la Estancia Infantil y estar avalado por la autoridad competente en materia de Protección Civil.      Las personas Responsables de las Estancias Infantiles que se hubiesen afiliado al Programa en ejercicios fiscales anteriores y que fueran susceptibles de recibir el apoyo para la Revalidación del PIPC, deberían presentar a la delegación correspondiente, a más tardar el 31 de octubre de 2013, la documentación comprobatoria de la revalidación del PIPC y cumplimiento de trámites municipales, estatales o equivalentes.   Asimismo, las personas Responsables de Estancias Infantiles que se hubiesen afiliado al Programa durante el ejercicio fiscal 2013, al momento de solicitar la Autorización del Modelo, deberían entregar copia simple del (los) documento(s) comprobatorio(s) de que la(s) persona(s) Asistente(s) y personal de apoyo haya(n) cursado y acreditado las capacitaciones, evaluaciones y/o certificaciones de acuerdo a la función que desempeñan en la Estancia Infantil.      Las personas Responsables de Estancias Infantiles que se afiliaron a la Red en ejercicios fiscales anteriores, tendrían hasta el 28 de junio de 2013 para la entrega de dichas copias.      Por lo anterior, muchas de las solicitudes para incorporarse al Programa o abrir una Estancia no cumplieron con los requisitos, por lo que no fue posible alcanzar la meta establecida para el presupuesto destinado a personas oferentes de los servicios de Estancias Infantiles. Efecto:  Otros Motivos:</t>
    </r>
  </si>
  <si>
    <r>
      <t xml:space="preserve">Porcentaje de Responsables de Estancias Infantiles que acuden a las capacitaciones complementarias convocadas por el DIF Nacional
</t>
    </r>
    <r>
      <rPr>
        <sz val="10"/>
        <rFont val="Soberana Sans"/>
        <family val="2"/>
      </rPr>
      <t xml:space="preserve"> Causa : Se trabajó para el que DIF Nacional contara con un equipo de capacitadores que realizaran de manera eficiente los procesos de capacitación a nivel nacional, en ese sentido, se fortalecieron los esquemas y contenidos de la capacitaciones convocadas por el DIF, lo cual motivó a las responsables de las estancias infantiles a acudir puntualmente a las convocatorias. Efecto:  Otros Motivos:</t>
    </r>
  </si>
  <si>
    <r>
      <t xml:space="preserve">Porcentaje de cumplimiento de las reuniones programadas entre el DIF Nacional y la Sedesol para las actividades de capacitación y supervisión  a las Responsables de Estancias Infantiles afiliadas a la Red
</t>
    </r>
    <r>
      <rPr>
        <sz val="10"/>
        <rFont val="Soberana Sans"/>
        <family val="2"/>
      </rPr>
      <t xml:space="preserve"> Causa : Con la entrada en vigor de la Ley General de Prestación de Servicios para la Atención, Cuidado y Desarrollo Integral Infantil, así como regulaciones en materia de Proteccón Civil, el DIF Nacional y la Sedesol han sostenido un mayor número de reuniones a las proyectadas. Efecto:  Otros Motivos:</t>
    </r>
  </si>
  <si>
    <r>
      <t xml:space="preserve">Porcentaje de responsables de estancias infantiles que reciben al menos dos visitas de supervisión en materia de operación, infraestructura y equipamiento en el semestre
</t>
    </r>
    <r>
      <rPr>
        <sz val="10"/>
        <rFont val="Soberana Sans"/>
        <family val="2"/>
      </rPr>
      <t xml:space="preserve"> Causa : En 2013, las Reglas de Operación reforzaron el aspecto de protección civil toda vez que se estableció que las Estancias Infantiles deberían entregarse conjuntamente el Programa Interno de Protección Civil con el documento en el cual la autoridad competente en materia de Protección Civil avale que el entorno de la Estancia ofrece condiciones adecuadas para brindar el servicio de cuidado y atención infantil.Por lo anterior, las visitas de supervisión ordinarias  observaron incumplimientos por lo que se emitieron recomendaciones para que subsanaran, por ello la estrategia de supervisión se enfocó en realizar segundas, terceras e incluso más supervisiones llamadas de seguimiento con el fin de asegurar las condiciones idóneas de seguridad.      En el caso de la supervisión ordinaria, las Reglas de Operación del Programa señalan que en caso de que durante la visita de supervisión el personal de la Sedesol detecte incumplimiento(s) se procede a emitir la recomendación por escrito en la que se describa el (los) incumplimiento(s) detectado(s), el (los) cual(es) deberá(n) ser solventado(s), en el plazo que determine en ese momento, el personal de la Sedesol, el cual no podrá ser menor a 7 días naturales ni mayor a 30 días naturales posteriores a la visita de supervisión.       Una vez cumplido el plazo, el personal de la delegación correspondiente, realizará una nueva visita, con el objeto de verificar que la(s) recomendación(es) hayan sido atendida(s) en su totalidad, en caso de no haber sido subsanada(s), se emitirá un apercibimiento por escrito a la persona Responsable para que corrija dicha(s) recomendación(es) en el plazo que en ese momento determine el personal de la delegación, el cual no podrá ser menor a 7 días naturales ni mayor a 10 días naturales posteriores a la visita de seguimiento, por ello la realización de una segunda visita a las Estancias para alcanzar la meta, no fue posible ya que las visitas de seguimiento llevaron mayor tiempo al esperado. Efecto:  Otros Motivos:</t>
    </r>
  </si>
  <si>
    <r>
      <t xml:space="preserve">Porcentaje de responsables de estancias infantiles que reciben al menos dos visitas de supervisión en materia de cuidado y atención infantil en el semestre
</t>
    </r>
    <r>
      <rPr>
        <sz val="10"/>
        <rFont val="Soberana Sans"/>
        <family val="2"/>
      </rPr>
      <t xml:space="preserve"> Causa : Como parte de su competencia en temas relacionados con el cuidado y atención infantil, el Sistema Nacional DIF  trabajó para contar con un equipo que realizara de manera eficiente los procesos de supervisión, en ese sentido, diseñaron esquemas que agilizaran el proceso de supervisiones en aspectos de cuidado y atención infantil. Efecto:  Otros Motivos:</t>
    </r>
  </si>
  <si>
    <t>S176</t>
  </si>
  <si>
    <t>Pensión para Adultos Mayores</t>
  </si>
  <si>
    <t>9 - Apoyo a adultos mayores en pobreza</t>
  </si>
  <si>
    <t>Contribuir a la reducción de la vulnerabilidad de los adultos de 65 años y más que no reciben ingresos por concepto de pago de jubilación o pensión de tipo contributivo, mediante la entrega de apoyos económicos y de protección social.</t>
  </si>
  <si>
    <r>
      <t>Vulnerabilidad por seguridad social</t>
    </r>
    <r>
      <rPr>
        <i/>
        <sz val="10"/>
        <color indexed="30"/>
        <rFont val="Soberana Sans"/>
        <family val="3"/>
      </rPr>
      <t xml:space="preserve">
</t>
    </r>
  </si>
  <si>
    <t>(Número de adultos mayores de 65 años y más que no perciben ingresos por concepto de pensión contributiva y presentan la carencia por acceso a la seguridad social) / (Número total de adultos mayores de 65 años y más que no perciben ingresos por concepto de pensión contributiva) x 100</t>
  </si>
  <si>
    <t>Los Adultos Mayores de 65 años y más, que no perciben ingreso por concepto de pago de pensión contributiva, incrementan su ingreso y aminoran el deterioro de su salud física y mental a través de acciones de participación y protección social.</t>
  </si>
  <si>
    <r>
      <t>Padrón Activo de Beneficiarios</t>
    </r>
    <r>
      <rPr>
        <i/>
        <sz val="10"/>
        <color indexed="30"/>
        <rFont val="Soberana Sans"/>
        <family val="3"/>
      </rPr>
      <t xml:space="preserve">
Indicador Seleccionado</t>
    </r>
  </si>
  <si>
    <t>Padrón Activo de Beneficiarios del bimestre anterior + Reactivaciones por Ficha en bimestre + Reactivaciones que se generan por la aplicación de otros movimientos al padrón en el bimestre + Incorporaciones en el bimestre - Total de bajas del bimestre</t>
  </si>
  <si>
    <r>
      <t>Vulnerabilidad por ingresos</t>
    </r>
    <r>
      <rPr>
        <i/>
        <sz val="10"/>
        <color indexed="30"/>
        <rFont val="Soberana Sans"/>
        <family val="3"/>
      </rPr>
      <t xml:space="preserve">
</t>
    </r>
  </si>
  <si>
    <t>[(Total de población adulta mayor de 65 años y más, que no perciben ingresos por concepto de pago de pensión contributiva, vulnerable por ingresos) / (Total de población adulta mayor de 65 años y más, que no percibe ingresos por concepto de pago de pensión contributiva)] x 100</t>
  </si>
  <si>
    <t>A Apoyos Económicos Directos proporcionados a la población beneficiaria del Programa</t>
  </si>
  <si>
    <r>
      <t>Porcentaje de beneficiarios que reciben apoyo económico</t>
    </r>
    <r>
      <rPr>
        <i/>
        <sz val="10"/>
        <color indexed="30"/>
        <rFont val="Soberana Sans"/>
        <family val="3"/>
      </rPr>
      <t xml:space="preserve">
</t>
    </r>
  </si>
  <si>
    <t>[(Número de adultos mayores del PAB con apoyo económico depositado en cuenta bancaria + número de adultos mayores del PAB con apoyo económico cobrado en mesas de atención en el bimestre) / (Padrón activo de beneficiarios en el bimestre)] x 100</t>
  </si>
  <si>
    <t>B Apoyos para la Inclusión Financiera otorgados a la población beneficiaria del Programa</t>
  </si>
  <si>
    <r>
      <t>Inclusión al sistema financiero nacional</t>
    </r>
    <r>
      <rPr>
        <i/>
        <sz val="10"/>
        <color indexed="30"/>
        <rFont val="Soberana Sans"/>
        <family val="3"/>
      </rPr>
      <t xml:space="preserve">
</t>
    </r>
  </si>
  <si>
    <t>Sumatoria de adultos mayores de 65 años y más del Programa, incorporados al sistema financiero nacional</t>
  </si>
  <si>
    <t>C Acciones para Aminorar el Deterioro de la Salud Física y Mental a la población beneficiaria del Programa</t>
  </si>
  <si>
    <r>
      <t>Acceso a servicios de salud</t>
    </r>
    <r>
      <rPr>
        <i/>
        <sz val="10"/>
        <color indexed="30"/>
        <rFont val="Soberana Sans"/>
        <family val="3"/>
      </rPr>
      <t xml:space="preserve">
</t>
    </r>
  </si>
  <si>
    <t>(Total de beneficiarios que cuentan con acceso a servicios de salud ) / (padron activo de beneficiarios) x 100</t>
  </si>
  <si>
    <t>D Acceso a apoyos o servicios a la protección social</t>
  </si>
  <si>
    <r>
      <t>Acceso a la protección social</t>
    </r>
    <r>
      <rPr>
        <i/>
        <sz val="10"/>
        <color indexed="30"/>
        <rFont val="Soberana Sans"/>
        <family val="3"/>
      </rPr>
      <t xml:space="preserve">
</t>
    </r>
  </si>
  <si>
    <t>(Número de personas que participan en los eventos organizados para promover acciones de protección social) / (Número de eventos)</t>
  </si>
  <si>
    <t>A 1 Atención al padrón de beneficiarios</t>
  </si>
  <si>
    <r>
      <t>Casas de día</t>
    </r>
    <r>
      <rPr>
        <i/>
        <sz val="10"/>
        <color indexed="30"/>
        <rFont val="Soberana Sans"/>
        <family val="3"/>
      </rPr>
      <t xml:space="preserve">
</t>
    </r>
  </si>
  <si>
    <t>Sumatoria de las casas de día apoyadas por el Programa</t>
  </si>
  <si>
    <t>Casa</t>
  </si>
  <si>
    <t>Gestión-Economía-Semestral</t>
  </si>
  <si>
    <t>Sumatoria de gestores voluntarios formalizados más los electos en la Red Social</t>
  </si>
  <si>
    <t>Gestión-Calidad-Bimestral</t>
  </si>
  <si>
    <r>
      <t>Acciones para la Protección Social</t>
    </r>
    <r>
      <rPr>
        <i/>
        <sz val="10"/>
        <color indexed="30"/>
        <rFont val="Soberana Sans"/>
        <family val="3"/>
      </rPr>
      <t xml:space="preserve">
</t>
    </r>
  </si>
  <si>
    <t>Sumatoria de de campañas de promoción de la protección social de los adultos mayores, tales como INAPAM y Seguro Popular</t>
  </si>
  <si>
    <t>Feria</t>
  </si>
  <si>
    <r>
      <t>Adultos Mayores Incorporados</t>
    </r>
    <r>
      <rPr>
        <i/>
        <sz val="10"/>
        <color indexed="30"/>
        <rFont val="Soberana Sans"/>
        <family val="3"/>
      </rPr>
      <t xml:space="preserve">
</t>
    </r>
  </si>
  <si>
    <t>(Número de personas  de 65 años de edad en adelante que no reciben ingresos por concepto de pago de jubilación o pensión de tipo contributivo incorporados al Programa durante el ejercicio fiscal ) / ( Total de personas  de 65 años de edad en adelante que no reciben ingresos por concepto de pago de jubilación o pensión de tipo contributivo)</t>
  </si>
  <si>
    <r>
      <t xml:space="preserve">Padrón Activo de Beneficiarios
</t>
    </r>
    <r>
      <rPr>
        <sz val="10"/>
        <rFont val="Soberana Sans"/>
        <family val="2"/>
      </rPr>
      <t xml:space="preserve"> Causa : Sin justificación por encontrarse dentro del rango establecido. Efecto: . Otros Motivos:.</t>
    </r>
  </si>
  <si>
    <r>
      <t xml:space="preserve">Inclusión al sistema financiero nacional
</t>
    </r>
    <r>
      <rPr>
        <sz val="10"/>
        <rFont val="Soberana Sans"/>
        <family val="2"/>
      </rPr>
      <t xml:space="preserve"> Causa : En la planeación original se había previsto la mayor incorporación al sistema financiero nacional hacia el final del año, sin embargo la alta rotación de personal que se presentó a principios del año, por el cambio de administración federal, aunado a que las reglas de operación se publicaron a finales de febrero y la veda electoral en mayo y junio, disminuyeron el tiempo de operación del programa. Efecto: Variaciones por debajo de las metas de bancarización de adultos mayores. Otros Motivos:.</t>
    </r>
  </si>
  <si>
    <r>
      <t xml:space="preserve">Acceso a la protección social
</t>
    </r>
    <r>
      <rPr>
        <sz val="10"/>
        <rFont val="Soberana Sans"/>
        <family val="2"/>
      </rPr>
      <t xml:space="preserve"> Causa : El número de personas que asistieron a eventos de promoción y acciones de protección social fue superior a las metas establecidas, debido a que la población elegible se incrementó al considerar a los adultos mayores de 65 años en adelante y la efectividad en la promoción hecha por los gestores voluntarios. Efecto:  Se atendió a una mayor población de adultos mayores en eventos o acciones de protección social que los programados originalmente. Otros Motivos:.</t>
    </r>
  </si>
  <si>
    <r>
      <t xml:space="preserve">Casas de día
</t>
    </r>
    <r>
      <rPr>
        <sz val="10"/>
        <rFont val="Soberana Sans"/>
        <family val="2"/>
      </rPr>
      <t xml:space="preserve"> Causa : Se presentó una mayor demanda de atención de Casas de día debido al crecimiento de la población  elegible del programa por efecto de ampliación del rango de edad a 65 años en adelante. Efecto: El número de casas de día apoyadas fue superior a las originalmente proyectadas.  Otros Motivos:.</t>
    </r>
  </si>
  <si>
    <r>
      <t xml:space="preserve">Gestores voluntarios
</t>
    </r>
    <r>
      <rPr>
        <sz val="10"/>
        <rFont val="Soberana Sans"/>
        <family val="2"/>
      </rPr>
      <t xml:space="preserve"> Causa : Durante el primer trimestre del año, las actividades de la red social fueron afectadas debido a la falta de recursos y de la tardía publicación de las Reglas de Operación de los Programas que maneja la DGAGP. En el segundo trimestre, las restricciones marcadas por el Programa de Blindaje Electoral de la SEDESOL, obligaron a la re-calendarización y ajuste de la meta para el segundo semestre. Posteriormente las actividades se vieron afectadas por  la alta rotación de personal en las delegaciones y falta de capacitación del mismo. Efecto: Disminución en el número de gestores voluntarios alcanzados. Otros Motivos:.</t>
    </r>
  </si>
  <si>
    <r>
      <t xml:space="preserve">Acciones para la Protección Social
</t>
    </r>
    <r>
      <rPr>
        <sz val="10"/>
        <rFont val="Soberana Sans"/>
        <family val="2"/>
      </rPr>
      <t xml:space="preserve"> Causa : Debido a las restricciones marcadas por el Programa de Blindaje Electoral de la SEDESOL en los primeros 6 meses de  2013, se realizó la re-calendarización y se ajusto la meta al segundo semestre ;  la alta rotación de personal en las delegaciones y falta de capacitación. Asimismo, la cantidad de ferias realizadas  no influyo de manera significativa en la afluencia de beneficarios la cual fue de 109,462. Efecto: . Otros Motivos:.</t>
    </r>
  </si>
  <si>
    <r>
      <t xml:space="preserve">Adultos Mayores Incorporados
</t>
    </r>
    <r>
      <rPr>
        <sz val="10"/>
        <rFont val="Soberana Sans"/>
        <family val="2"/>
      </rPr>
      <t xml:space="preserve"> Causa : El crecimiento superior a la meta programada del PAB se debio a una reduccion de la edad permisible para ser sujeto de apoyos a 65 años y  la efectividad en la promoción hecha por los gestores voluntarios; esto propicio un incremento de registro superior a lo estimado. Efecto: Variación superior a lo establecido en la meta programada. Otros Motivos:.</t>
    </r>
  </si>
  <si>
    <t>S216</t>
  </si>
  <si>
    <t>Programa para el Desarrollo de Zonas Prioritarias</t>
  </si>
  <si>
    <t>7 - Apoyo a pequeñas comunidades rurales</t>
  </si>
  <si>
    <t>Contribuir a elevar el acceso al capital físico en las Zonas de Atención Prioritarias rurales y las localidades de muy alta y alta marginación ubicadas en municipios de media marginación, mediante la provisión de servicios básicos y calidad de la vivienda e infraestructura social comunitaria</t>
  </si>
  <si>
    <r>
      <t>Variación en el acceso a servicios básicos en la vivienda</t>
    </r>
    <r>
      <rPr>
        <i/>
        <sz val="10"/>
        <color indexed="30"/>
        <rFont val="Soberana Sans"/>
        <family val="3"/>
      </rPr>
      <t xml:space="preserve">
</t>
    </r>
  </si>
  <si>
    <t>((Proporción de viviendas que disponen de agua entubada acumuladas al año 2013 en la población potencial del Programa + Proporción de viviendas con electricidad acumuladas al año 2013 en la población potencial del Programa + Proporción de  viviendas  con drenaje acumuladas al año 2013 en la población potencial del Programa)/ Proporción de viviendas que disponen de agua entubada en el año 2010 en la población potencial del Programa + Proporción de viviendas con electricidad al año 2010 en la población potencial del Programa + Proporción de  viviendas  con drenaje al año 2013 en la población potencial del Programa)-1)*100   Para mayor detalle ver nota metodológica anexa.</t>
  </si>
  <si>
    <r>
      <t>Variación en el acceso a calidad y espacios en la vivienda</t>
    </r>
    <r>
      <rPr>
        <i/>
        <sz val="10"/>
        <color indexed="30"/>
        <rFont val="Soberana Sans"/>
        <family val="3"/>
      </rPr>
      <t xml:space="preserve">
</t>
    </r>
  </si>
  <si>
    <t>((Porcentaje de viviendas que disponen de piso firme acumuladas al año 2013 en la población potencial del Programa + Porcentaje de viviendas con servicio sanitario acumuladas al año 2013 en la población potencial del Programa/ Porcentaje de viviendas que disponen de piso firme en el año 2010 en la población potencial del Programa + Porcentaje de viviendas con servicio sanitario al año 2010 en la población potencial del Programa)-1)*100   Para mayor detalle ver nota metodológica anexa.</t>
  </si>
  <si>
    <t>Las localidades ubicadas en municipios de muy alta y alta marginación o rezago social muy alto o alto y las localidades con muy alta y alta marginación en municipios de media marginación cuentan con acceso a servicios básicos, calidad en la vivienda e infraestructura social comunitaria.</t>
  </si>
  <si>
    <r>
      <t>Porcentaje de atención de localidades con servicios básicos en la vivienda respecto de la población potencial</t>
    </r>
    <r>
      <rPr>
        <i/>
        <sz val="10"/>
        <color indexed="30"/>
        <rFont val="Soberana Sans"/>
        <family val="3"/>
      </rPr>
      <t xml:space="preserve">
</t>
    </r>
  </si>
  <si>
    <t>(Número acumulado de localidades atendidas con acciones de servicios básicos en la vivienda al ejercicio fiscal t -sin duplicar-/Número de localidades que conforman la población potencial del Programa)*100</t>
  </si>
  <si>
    <r>
      <t>Porcentaje de localidades atendidas con acciones de calidad y espacios en la vivienda respecto de la población potencial</t>
    </r>
    <r>
      <rPr>
        <i/>
        <sz val="10"/>
        <color indexed="30"/>
        <rFont val="Soberana Sans"/>
        <family val="3"/>
      </rPr>
      <t xml:space="preserve">
</t>
    </r>
  </si>
  <si>
    <t>(Número de localidades atendidas con acciones de calidad de la vivienda acumuladas al ejercicio fiscal t -sin duplicar-/Número de localidades que conforman la población potencial del Programa)*100</t>
  </si>
  <si>
    <r>
      <t>Porcentaje de localidades atendidas con acciones de infraestructura social comunitaria respecto de la población potencial</t>
    </r>
    <r>
      <rPr>
        <i/>
        <sz val="10"/>
        <color indexed="30"/>
        <rFont val="Soberana Sans"/>
        <family val="3"/>
      </rPr>
      <t xml:space="preserve">
</t>
    </r>
  </si>
  <si>
    <t>(Número acumulado de localidades atendidas con acciones de infraestructura social comunitaria al ejercicio fiscal t -sin duplicar-/Número de localidades que conforman la población potencial del Programa)*100</t>
  </si>
  <si>
    <r>
      <t>Porcentaje de cobertura acumulada del Programa</t>
    </r>
    <r>
      <rPr>
        <i/>
        <sz val="10"/>
        <color indexed="30"/>
        <rFont val="Soberana Sans"/>
        <family val="3"/>
      </rPr>
      <t xml:space="preserve">
</t>
    </r>
  </si>
  <si>
    <t>(Número de localidades atendidas acumuladas al ejercicio fiscal t -sin duplicar- /Número de localidades que conforman la población potencial del Programa -97,448-)*100</t>
  </si>
  <si>
    <t>A Proyectos concluidos para mejorar la calidad de la vivienda</t>
  </si>
  <si>
    <r>
      <t>Viviendas con servicio sanitario en proyectos terminados por el Programa</t>
    </r>
    <r>
      <rPr>
        <i/>
        <sz val="10"/>
        <color indexed="30"/>
        <rFont val="Soberana Sans"/>
        <family val="3"/>
      </rPr>
      <t xml:space="preserve">
</t>
    </r>
  </si>
  <si>
    <t>Número de viviendas con servicio sanitario en proyectos terminados por el Programa</t>
  </si>
  <si>
    <t>Vivienda</t>
  </si>
  <si>
    <r>
      <t>Viviendas con muros reforzados y techos en proyectos terminados por el programa</t>
    </r>
    <r>
      <rPr>
        <i/>
        <sz val="10"/>
        <color indexed="30"/>
        <rFont val="Soberana Sans"/>
        <family val="3"/>
      </rPr>
      <t xml:space="preserve">
</t>
    </r>
  </si>
  <si>
    <t>Número de viviendas con muros reforzados y techos en proyectos terminados por el programa</t>
  </si>
  <si>
    <r>
      <t xml:space="preserve">Pisos firmes en proyectos terminados por el Programa </t>
    </r>
    <r>
      <rPr>
        <i/>
        <sz val="10"/>
        <color indexed="30"/>
        <rFont val="Soberana Sans"/>
        <family val="3"/>
      </rPr>
      <t xml:space="preserve">
</t>
    </r>
  </si>
  <si>
    <t>Número de viviendas con pisos firmes en proyectos terminados por el Programa</t>
  </si>
  <si>
    <r>
      <t>Proyectos de estudios, investigaciones y levantamiento de información socioeconómica terminados por el Programa</t>
    </r>
    <r>
      <rPr>
        <i/>
        <sz val="10"/>
        <color indexed="30"/>
        <rFont val="Soberana Sans"/>
        <family val="3"/>
      </rPr>
      <t xml:space="preserve">
</t>
    </r>
  </si>
  <si>
    <t>Número de proyectos  de estudios, investigaciones y levantamiento de información socioeconómica terminados por el Programa</t>
  </si>
  <si>
    <t>B Proyectos concluidos de servicios básicos en la vivienda</t>
  </si>
  <si>
    <r>
      <t>Viviendas con estufa ecológica instalada en proyectos terminados por el Programa</t>
    </r>
    <r>
      <rPr>
        <i/>
        <sz val="10"/>
        <color indexed="30"/>
        <rFont val="Soberana Sans"/>
        <family val="3"/>
      </rPr>
      <t xml:space="preserve">
</t>
    </r>
  </si>
  <si>
    <t>Número de viviendas con estufa ecológica instalada en proyectos terminados por el Programa</t>
  </si>
  <si>
    <r>
      <t>Obras de saneamiento en proyectos terminados por el Programa</t>
    </r>
    <r>
      <rPr>
        <i/>
        <sz val="10"/>
        <color indexed="30"/>
        <rFont val="Soberana Sans"/>
        <family val="3"/>
      </rPr>
      <t xml:space="preserve">
</t>
    </r>
  </si>
  <si>
    <t>Número de obras de saneamiento en proyectos terminados por el Programa</t>
  </si>
  <si>
    <t>Obra</t>
  </si>
  <si>
    <r>
      <t>Viviendas con energía eléctrica en proyectos terminados por el Programa</t>
    </r>
    <r>
      <rPr>
        <i/>
        <sz val="10"/>
        <color indexed="30"/>
        <rFont val="Soberana Sans"/>
        <family val="3"/>
      </rPr>
      <t xml:space="preserve">
</t>
    </r>
  </si>
  <si>
    <t>Número de viviendas con energía eléctrica en proyectos terminados por el Programa</t>
  </si>
  <si>
    <r>
      <t>Viviendas con agua en proyectos terminados por el Programa</t>
    </r>
    <r>
      <rPr>
        <i/>
        <sz val="10"/>
        <color indexed="30"/>
        <rFont val="Soberana Sans"/>
        <family val="3"/>
      </rPr>
      <t xml:space="preserve">
</t>
    </r>
  </si>
  <si>
    <t>Número de viviendas con agua en proyectos terminados por el Programa</t>
  </si>
  <si>
    <r>
      <t>Rellenos sanitarios en proyectos terminados por el Programa</t>
    </r>
    <r>
      <rPr>
        <i/>
        <sz val="10"/>
        <color indexed="30"/>
        <rFont val="Soberana Sans"/>
        <family val="3"/>
      </rPr>
      <t xml:space="preserve">
</t>
    </r>
  </si>
  <si>
    <t>Número total de rellenos sanitarios en proyectos terminados por el Programa</t>
  </si>
  <si>
    <t>Rellenos sanitarios</t>
  </si>
  <si>
    <t>C Proyectos concluidos para mejorar el contexto territorial</t>
  </si>
  <si>
    <r>
      <t>Proyectos de construcción, reconstrucción, rehabilitación y/o equipamiento de infraestructura de salud terminados por el Programa</t>
    </r>
    <r>
      <rPr>
        <i/>
        <sz val="10"/>
        <color indexed="30"/>
        <rFont val="Soberana Sans"/>
        <family val="3"/>
      </rPr>
      <t xml:space="preserve">
</t>
    </r>
  </si>
  <si>
    <t>Número de proyectos de construcción, reconstrucción, rehabilitación y/o equipamiento de infraestructura de salud terminados por el Programa</t>
  </si>
  <si>
    <r>
      <t>Proyectos de construcción, reconstrucción, rehabilitación y/o equipamiento de infraestructura de educación terminados por el Programa</t>
    </r>
    <r>
      <rPr>
        <i/>
        <sz val="10"/>
        <color indexed="30"/>
        <rFont val="Soberana Sans"/>
        <family val="3"/>
      </rPr>
      <t xml:space="preserve">
</t>
    </r>
  </si>
  <si>
    <t>Número de proyectos de construcción, reconstrucción, rehabilitación y/o equipamiento de infraestructura de educación terminados por el Programa</t>
  </si>
  <si>
    <r>
      <t>Centros Públicos de Computo con acceso a Internet rehabilitados en proyectos terminados por el Programa</t>
    </r>
    <r>
      <rPr>
        <i/>
        <sz val="10"/>
        <color indexed="30"/>
        <rFont val="Soberana Sans"/>
        <family val="3"/>
      </rPr>
      <t xml:space="preserve">
</t>
    </r>
  </si>
  <si>
    <t>Número de Centros Públicos de Computo con acceso a Internet rehabilitados en proyectos terminados por el Programa</t>
  </si>
  <si>
    <t>Centro</t>
  </si>
  <si>
    <r>
      <t>Proyectos de caminos rurales terminados por el Programa</t>
    </r>
    <r>
      <rPr>
        <i/>
        <sz val="10"/>
        <color indexed="30"/>
        <rFont val="Soberana Sans"/>
        <family val="3"/>
      </rPr>
      <t xml:space="preserve">
</t>
    </r>
  </si>
  <si>
    <t>Número total de proyectos de caminos rurales terminados por el Programa</t>
  </si>
  <si>
    <r>
      <t>Proyectos de sistemas de comunicación terminados por el Programa</t>
    </r>
    <r>
      <rPr>
        <i/>
        <sz val="10"/>
        <color indexed="30"/>
        <rFont val="Soberana Sans"/>
        <family val="3"/>
      </rPr>
      <t xml:space="preserve">
</t>
    </r>
  </si>
  <si>
    <t>Número de proyectos concluidos de sistemas de comunicación (conectividad a internet) terminados por el Programa</t>
  </si>
  <si>
    <r>
      <t>Proyectos de apoyo para la organización comunitaria y planeación participativa terminados por el Programa</t>
    </r>
    <r>
      <rPr>
        <i/>
        <sz val="10"/>
        <color indexed="30"/>
        <rFont val="Soberana Sans"/>
        <family val="3"/>
      </rPr>
      <t xml:space="preserve">
</t>
    </r>
  </si>
  <si>
    <t>Número de proyectos de organización comunitaria (talleres cívicos, talleres productivos, talleres médicos, talleres ecológicos, cursos de sensibilización, entre otros) terminados por el Programa</t>
  </si>
  <si>
    <r>
      <t>Proyectos de promoción social y acciones para la coordinación entre ordenes de gobierno terminados por el Programa</t>
    </r>
    <r>
      <rPr>
        <i/>
        <sz val="10"/>
        <color indexed="30"/>
        <rFont val="Soberana Sans"/>
        <family val="3"/>
      </rPr>
      <t xml:space="preserve">
</t>
    </r>
  </si>
  <si>
    <t>Número de proyectos de promoción social y acciones para la coordinación entre ordenes de gobierno terminados por el Programa</t>
  </si>
  <si>
    <r>
      <t>Proyectos de servicio social comunitario promovidos por instituciones de educación superior,  media superior y organizaciones de la sociedad civil terminados por el Programa</t>
    </r>
    <r>
      <rPr>
        <i/>
        <sz val="10"/>
        <color indexed="30"/>
        <rFont val="Soberana Sans"/>
        <family val="3"/>
      </rPr>
      <t xml:space="preserve">
</t>
    </r>
  </si>
  <si>
    <r>
      <t>Proyectos de infraestructura productiva comunitaria terminados por el Programa</t>
    </r>
    <r>
      <rPr>
        <i/>
        <sz val="10"/>
        <color indexed="30"/>
        <rFont val="Soberana Sans"/>
        <family val="3"/>
      </rPr>
      <t xml:space="preserve">
</t>
    </r>
  </si>
  <si>
    <t>Número total de proyectos de infraestructura productiva comunitaria terminados por el Programa</t>
  </si>
  <si>
    <r>
      <t>Proyectos de infraestructura deportiva terminados por el Programa</t>
    </r>
    <r>
      <rPr>
        <i/>
        <sz val="10"/>
        <color indexed="30"/>
        <rFont val="Soberana Sans"/>
        <family val="3"/>
      </rPr>
      <t xml:space="preserve">
</t>
    </r>
  </si>
  <si>
    <t>Número total de  proyectos de infraestructura deportiva terminados por el Programa</t>
  </si>
  <si>
    <t>A 1 Evaluación y Aprobación de Proyectos para mejorar la calidad de la vivienda</t>
  </si>
  <si>
    <r>
      <t>Número de viviendas con servicio sanitario en proyectos aprobados por el Programa</t>
    </r>
    <r>
      <rPr>
        <i/>
        <sz val="10"/>
        <color indexed="30"/>
        <rFont val="Soberana Sans"/>
        <family val="3"/>
      </rPr>
      <t xml:space="preserve">
Indicador Seleccionado</t>
    </r>
  </si>
  <si>
    <t>Número de viviendas con servicio sanitario en proyectos aprobados por el Programa</t>
  </si>
  <si>
    <r>
      <t>Viviendas con muros reforzados y techos en proyectos aprobados por el programa</t>
    </r>
    <r>
      <rPr>
        <i/>
        <sz val="10"/>
        <color indexed="30"/>
        <rFont val="Soberana Sans"/>
        <family val="3"/>
      </rPr>
      <t xml:space="preserve">
</t>
    </r>
  </si>
  <si>
    <t>Número de viviendas con muros reforzados y techos en proyectos aprobados por el programa</t>
  </si>
  <si>
    <r>
      <t>Proyectos de estudios, investigaciones y levantamiento de información socioeconómica aprobados por el Programa</t>
    </r>
    <r>
      <rPr>
        <i/>
        <sz val="10"/>
        <color indexed="30"/>
        <rFont val="Soberana Sans"/>
        <family val="3"/>
      </rPr>
      <t xml:space="preserve">
</t>
    </r>
  </si>
  <si>
    <t>Número de proyectos de estudios, investigaciones y levantamiento de información socioeconómica aprobados por el Programa</t>
  </si>
  <si>
    <r>
      <t>Pisos firmes en proyectos aprobados por el Programa</t>
    </r>
    <r>
      <rPr>
        <i/>
        <sz val="10"/>
        <color indexed="30"/>
        <rFont val="Soberana Sans"/>
        <family val="3"/>
      </rPr>
      <t xml:space="preserve">
</t>
    </r>
  </si>
  <si>
    <t>Número de viviendas con pisos firmes en proyectos aprobados por el Programa</t>
  </si>
  <si>
    <t>B 2 Evaluación y Aprobación de Proyectos de servicios básicos en la vivienda</t>
  </si>
  <si>
    <r>
      <t>Viviendas con servicio de energía eléctrica en proyectos aprobados por el Programa</t>
    </r>
    <r>
      <rPr>
        <i/>
        <sz val="10"/>
        <color indexed="30"/>
        <rFont val="Soberana Sans"/>
        <family val="3"/>
      </rPr>
      <t xml:space="preserve">
</t>
    </r>
  </si>
  <si>
    <t>Número de viviendas con servicio de energía eléctrica aprobadas por el Programa</t>
  </si>
  <si>
    <r>
      <t>Número de viviendas con servicio de agua en proyectos aprobados por el Programa</t>
    </r>
    <r>
      <rPr>
        <i/>
        <sz val="10"/>
        <color indexed="30"/>
        <rFont val="Soberana Sans"/>
        <family val="3"/>
      </rPr>
      <t xml:space="preserve">
Indicador Seleccionado</t>
    </r>
  </si>
  <si>
    <t xml:space="preserve">Viviendas con servicio de agua en proyectos aprobados </t>
  </si>
  <si>
    <r>
      <t>Viviendas en proyectos de instalación de estufas ecológicas aprobados por el Programa</t>
    </r>
    <r>
      <rPr>
        <i/>
        <sz val="10"/>
        <color indexed="30"/>
        <rFont val="Soberana Sans"/>
        <family val="3"/>
      </rPr>
      <t xml:space="preserve">
</t>
    </r>
  </si>
  <si>
    <t>Número de viviendas en proyectos de instalación de estufas ecológicas aprobados por el Programa</t>
  </si>
  <si>
    <r>
      <t>Obras de saneamiento aprobadas</t>
    </r>
    <r>
      <rPr>
        <i/>
        <sz val="10"/>
        <color indexed="30"/>
        <rFont val="Soberana Sans"/>
        <family val="3"/>
      </rPr>
      <t xml:space="preserve">
Indicador Seleccionado</t>
    </r>
  </si>
  <si>
    <t>Obras de saneamiento aprobadas</t>
  </si>
  <si>
    <r>
      <t>Rellenos sanitarios en proyectos aprobados por el Programa</t>
    </r>
    <r>
      <rPr>
        <i/>
        <sz val="10"/>
        <color indexed="30"/>
        <rFont val="Soberana Sans"/>
        <family val="3"/>
      </rPr>
      <t xml:space="preserve">
</t>
    </r>
  </si>
  <si>
    <t>Número de rellenos sanitarios aprobados por el Programa</t>
  </si>
  <si>
    <t>Rellenos Sanitarios</t>
  </si>
  <si>
    <t>C 3 Evaluación y Aprobación de Proyectos para mejorar el contexto territorial</t>
  </si>
  <si>
    <r>
      <t>Centros Públicos de Cómputo con acceso a Internet en proyectos aprobados por el Programa</t>
    </r>
    <r>
      <rPr>
        <i/>
        <sz val="10"/>
        <color indexed="30"/>
        <rFont val="Soberana Sans"/>
        <family val="3"/>
      </rPr>
      <t xml:space="preserve">
</t>
    </r>
  </si>
  <si>
    <t>Número de Centros Públicos de Cómputo con acceso a Internet en proyectos aprobados por el Programa</t>
  </si>
  <si>
    <r>
      <t>Proyectos de construcción, reconstrucción, rehabilitación y/o equipamiento de infraestructura de salud aprobados por el Programa</t>
    </r>
    <r>
      <rPr>
        <i/>
        <sz val="10"/>
        <color indexed="30"/>
        <rFont val="Soberana Sans"/>
        <family val="3"/>
      </rPr>
      <t xml:space="preserve">
</t>
    </r>
  </si>
  <si>
    <t>Número de Proyectos de construcción, reconstrucción, rehabilitación y/o equipamiento de infraestructura de salud aprobados por el Programa</t>
  </si>
  <si>
    <r>
      <t>Proyectos de construcción, reconstrucción, rehabilitación y/o equipamiento de infraestructura de educación aprobados por el Programa</t>
    </r>
    <r>
      <rPr>
        <i/>
        <sz val="10"/>
        <color indexed="30"/>
        <rFont val="Soberana Sans"/>
        <family val="3"/>
      </rPr>
      <t xml:space="preserve">
</t>
    </r>
  </si>
  <si>
    <t>Número de Proyectos de construcción, reconstrucción, rehabilitación y/o equipamiento de infraestructura de educación aprobados por el Programa</t>
  </si>
  <si>
    <r>
      <t>Proyectos de sistemas de comunicación aprobados por el Programa</t>
    </r>
    <r>
      <rPr>
        <i/>
        <sz val="10"/>
        <color indexed="30"/>
        <rFont val="Soberana Sans"/>
        <family val="3"/>
      </rPr>
      <t xml:space="preserve">
</t>
    </r>
  </si>
  <si>
    <t>Número de proyectos de sistemas de comunicación (conectividad a internet) aprobados por el Programa</t>
  </si>
  <si>
    <r>
      <t>Proyectos de apoyo para la organización comunitaria y planeación participativa aprobados por el Programa</t>
    </r>
    <r>
      <rPr>
        <i/>
        <sz val="10"/>
        <color indexed="30"/>
        <rFont val="Soberana Sans"/>
        <family val="3"/>
      </rPr>
      <t xml:space="preserve">
</t>
    </r>
  </si>
  <si>
    <t>Número de proyectos de organización comunitaria (talleres cívicos, talleres productivos, talleres médicos, talleres ecológicos, cursos de sensibilización, entre otros) aprobados por el Programa)</t>
  </si>
  <si>
    <r>
      <t>Proyectos de Promoción social y acciones para la coordinación entre ordenes de gobierno aprobados por el Programa</t>
    </r>
    <r>
      <rPr>
        <i/>
        <sz val="10"/>
        <color indexed="30"/>
        <rFont val="Soberana Sans"/>
        <family val="3"/>
      </rPr>
      <t xml:space="preserve">
</t>
    </r>
  </si>
  <si>
    <t>Número de proyectos de Promoción social y acciones para la coordinación entre ordenes de gobierno aprobados por el Programa</t>
  </si>
  <si>
    <r>
      <t>Proyectos de caminos rurales aprobados por el Programa</t>
    </r>
    <r>
      <rPr>
        <i/>
        <sz val="10"/>
        <color indexed="30"/>
        <rFont val="Soberana Sans"/>
        <family val="3"/>
      </rPr>
      <t xml:space="preserve">
</t>
    </r>
  </si>
  <si>
    <t>Número total de proyectos de caminos rurales aprobados por el Programa</t>
  </si>
  <si>
    <r>
      <t>Proyectos de servicio social comunitario promovidos por instituciones de educación superior, media superior y organizaciones de la sociedad civil aprobados por el Programa</t>
    </r>
    <r>
      <rPr>
        <i/>
        <sz val="10"/>
        <color indexed="30"/>
        <rFont val="Soberana Sans"/>
        <family val="3"/>
      </rPr>
      <t xml:space="preserve">
</t>
    </r>
  </si>
  <si>
    <t>Número de proyectos de organización comunitaria (talleres cívicos, talleres productivos, talleres médicos, talleres ecológicos, cursos de sensibilización, entre otros) aprobados por el Programa</t>
  </si>
  <si>
    <r>
      <t>Proyectos de infraestructura productiva aprobados por el Programa</t>
    </r>
    <r>
      <rPr>
        <i/>
        <sz val="10"/>
        <color indexed="30"/>
        <rFont val="Soberana Sans"/>
        <family val="3"/>
      </rPr>
      <t xml:space="preserve">
</t>
    </r>
  </si>
  <si>
    <t>Número total proyectos de infraestructura productiva aprobados por el Programa</t>
  </si>
  <si>
    <r>
      <t>Proyectos de infraestructura deportiva aprobados por el Programa</t>
    </r>
    <r>
      <rPr>
        <i/>
        <sz val="10"/>
        <color indexed="30"/>
        <rFont val="Soberana Sans"/>
        <family val="3"/>
      </rPr>
      <t xml:space="preserve">
</t>
    </r>
  </si>
  <si>
    <t>Número total de proyectos de infraestructura deportiva aprobados por el Programa</t>
  </si>
  <si>
    <t>C 4 Vigilancia de obra. ESTA ACTIVIDAD ES TRANSVERSAL A LOS TRES COMPONENTES DE LA MATRIZ</t>
  </si>
  <si>
    <r>
      <t>Comités comunitarios de contraloria social integrados por el Programa</t>
    </r>
    <r>
      <rPr>
        <i/>
        <sz val="10"/>
        <color indexed="30"/>
        <rFont val="Soberana Sans"/>
        <family val="3"/>
      </rPr>
      <t xml:space="preserve">
</t>
    </r>
  </si>
  <si>
    <t>Número de comités comunitarios de contraloria social integrados por el Programa</t>
  </si>
  <si>
    <t>Comité</t>
  </si>
  <si>
    <t>C 5 Capacitación a autoridades municipales. ESTA ACTIVIDAD ES TRANSVERSAL A LOS TRES COMPONENTES DE LA MATRIZ</t>
  </si>
  <si>
    <r>
      <t>Eventos de capacitación acerca de las acciones del Programa</t>
    </r>
    <r>
      <rPr>
        <i/>
        <sz val="10"/>
        <color indexed="30"/>
        <rFont val="Soberana Sans"/>
        <family val="3"/>
      </rPr>
      <t xml:space="preserve">
</t>
    </r>
  </si>
  <si>
    <t>Número de eventos de capacitación acerca de las acciones del Programa</t>
  </si>
  <si>
    <t>Evento</t>
  </si>
  <si>
    <t>C 6 Difusión y promoción del Programa. ESTA ACTIVIDAD ES TRANSVERSAL A LOS TRES COMPONENTES DE LA MATRIZ</t>
  </si>
  <si>
    <r>
      <t>Eventos de difusión aprobados por el Programa</t>
    </r>
    <r>
      <rPr>
        <i/>
        <sz val="10"/>
        <color indexed="30"/>
        <rFont val="Soberana Sans"/>
        <family val="3"/>
      </rPr>
      <t xml:space="preserve">
</t>
    </r>
  </si>
  <si>
    <t>Número de eventos de difusión aprobados por el Programa</t>
  </si>
  <si>
    <r>
      <t xml:space="preserve">Variación en el acceso a servicios básicos en la vivienda
</t>
    </r>
    <r>
      <rPr>
        <sz val="10"/>
        <rFont val="Soberana Sans"/>
        <family val="2"/>
      </rPr>
      <t xml:space="preserve"> Causa : El indicador evalúa cómo el Programa contribuye de forma acumulada a mejorar el acceso a los servicios básicos en vivienda, considerando la proporción de viviendas que disponen de agua entubada, proporción de viviendas con electricidad y la proporción de viviendas que con drenaje.              El avance del indicador con respecto a la meta programada quedo en 0.17 puntos por encima de lo esperado respecto a la meta programada, sin embargo, se considera que el comportamiento es adecuado.                El comportamiento del indicador puede ser un buen referente para inferir que se ha atendido de mejor manera la carencia asociada con los servicios básicos en las viviendas beneficiadas. Efecto:  Otros Motivos:</t>
    </r>
  </si>
  <si>
    <r>
      <t xml:space="preserve">Variación en el acceso a calidad y espacios en la vivienda
</t>
    </r>
    <r>
      <rPr>
        <sz val="10"/>
        <rFont val="Soberana Sans"/>
        <family val="2"/>
      </rPr>
      <t xml:space="preserve"> Causa : El indicador evalúa cómo el Programa contribuye de forma acumulada a mejorar el acceso en cuanto a calidad y espacios en la vivienda mediante dos variables: a) dotación de piso firme en  viviendas y, b) acceso a servicio sanitario en vivienda.            Se esperaba que la contribución del Programa para mejorar el acceso respecto a la calidad y espacios en la vivienda fuera de 9.36 puntos porcentuales, no obstante el avance del indicador registró 0.14 puntos por abajo de lo esperado en tanto el avance en el indicador de piso firme fue moderado, debido principalmente a que se reorientaron recursos para la implementación del inicio de los proyectos nacionales de sistemas de captación de agua pluvial, baños húmedos con biodigestor autolimpiable y techos firmes.        A pesar de que el comportamiento del indicador presenta una  ligera variación respecto de la meta planificada al inicio del ejercicio fiscal, se considera que presenta un avance óptimo. Efecto:  Otros Motivos:</t>
    </r>
  </si>
  <si>
    <r>
      <t xml:space="preserve">Porcentaje de atención de localidades con servicios básicos en la vivienda respecto de la población potencial
</t>
    </r>
    <r>
      <rPr>
        <sz val="10"/>
        <rFont val="Soberana Sans"/>
        <family val="2"/>
      </rPr>
      <t xml:space="preserve"> Causa : El avance del indicador se encuentra por debajo de la meta programada debido a que, en el ejercicio fiscal 2013, el Programa consideró:            1) favorecer la realización de acciones integrales, es decir atender en su conjunto las carencias detectadas en las comunidades, evitando así la atomización de recursos en acciones inconexas            2) atender de manera prioritaria las localidades ubicadas en los municipios de la Cruzada Nacional contra el Hambre, según el Decreto por el que se establece el Sistema Nacional para la Cruzada contra el Hambre publicado en el Diario Oficial de la Federación el 22 de enero de 2013 Efecto:  Otros Motivos:</t>
    </r>
  </si>
  <si>
    <r>
      <t xml:space="preserve">Porcentaje de localidades atendidas con acciones de calidad y espacios en la vivienda respecto de la población potencial
</t>
    </r>
    <r>
      <rPr>
        <sz val="10"/>
        <rFont val="Soberana Sans"/>
        <family val="2"/>
      </rPr>
      <t xml:space="preserve"> Causa : El avance del indicador se encuentra por debajo de la meta programada debido a que, en el ejercicio fiscal 2013, el Programa consideró:    1) favorecer la realización de acciones integrales, es decir atender en su conjunto las carencias detectadas en las comunidades, evitando así la atomización de recursos en acciones inconexas    2) atender de manera prioritaria las localidades ubicadas en los municipios de la Cruzada Nacional contra el Hambre, según el Decreto por el que se establece el Sistema Nacional para la Cruzada contra el Hambre publicado en el Diario Oficial de la Federación el 22 de enero de 2013    Información preliminar con corte al 14 de enero de 2013   Efecto:  Otros Motivos:</t>
    </r>
  </si>
  <si>
    <r>
      <t xml:space="preserve">Porcentaje de localidades atendidas con acciones de infraestructura social comunitaria respecto de la población potencial
</t>
    </r>
    <r>
      <rPr>
        <sz val="10"/>
        <rFont val="Soberana Sans"/>
        <family val="2"/>
      </rPr>
      <t xml:space="preserve"> Causa : El avance del indicador con respecto a su meta presenta un cumplimiento considerablemente menor a lo Programado, en la medida en que esta meta fue calculada a partir de los datos históricos del Programa, el cual venia atendiendo de forma equilibrada acciones de infraestructura social comunitaria y acciones de vivienda. No obstante, en el presente ejercicio fiscal y dada la suficiencia presupuestal, los esfuerzos del Programa pusieron especial  hincapié en acciones en el ámbito de la vivienda, a fin de favorecer acciones integrales que contribuyan con el abatimiento de las carencias sociales definidas por el CONEVAL. Efecto:  Otros Motivos:</t>
    </r>
  </si>
  <si>
    <r>
      <t xml:space="preserve">Porcentaje de cobertura acumulada del Programa
</t>
    </r>
    <r>
      <rPr>
        <sz val="10"/>
        <rFont val="Soberana Sans"/>
        <family val="2"/>
      </rPr>
      <t xml:space="preserve"> Causa : El moderado avance respecto a la meta del indicador se debe a que, en el ejercicio fiscal 2013, el Programa tuvo las siguientes prioridades:            1) favorecer la realización de acciones integrales, es decir atender en su conjunto las carencias detectadas en las comunidades, evitando así la atomización de recursos en acciones inconexas            2) atender de manera prioritaria las localidades ubicadas en los municipios de la Cruzada Nacional contra el Hambre, según el Decreto por el que se establece el Sistema Nacional para la Cruzada contra el Hambre publicado en el Diario Oficial de la Federación el 22 de enero de 2013           El indicador es un porcentaje acumulado de la cobertura del Programa, para los siguientes ejercicios fiscales se espera que éste tenga avances importantes. Efecto:  Otros Motivos:</t>
    </r>
  </si>
  <si>
    <r>
      <t xml:space="preserve">Viviendas con servicio sanitario en proyectos terminados por el Programa
</t>
    </r>
    <r>
      <rPr>
        <sz val="10"/>
        <rFont val="Soberana Sans"/>
        <family val="2"/>
      </rPr>
      <t xml:space="preserve"> Causa : Durante el ejercicio fiscal 2013 el Programa reorientó recursos para la implementación de los proyectos nacionales de sistemas de captación de agua pluvial, baños húmedos con biodigestor autolimpiable y techos firmes.     A pesar de que el comportamiento del indicador tuvo una ligera tendencia a la baja respecto de la meta planificada al inicio del ejercicio fiscal, se considera que presenta un avance aceptable de acuerdo con el parámetro de semáforización amarillo-verde del indicador.      Efecto:  Otros Motivos:</t>
    </r>
  </si>
  <si>
    <r>
      <t xml:space="preserve">Viviendas con muros reforzados y techos en proyectos terminados por el programa
</t>
    </r>
    <r>
      <rPr>
        <sz val="10"/>
        <rFont val="Soberana Sans"/>
        <family val="2"/>
      </rPr>
      <t xml:space="preserve"> Causa : Durante el ejercicio fiscal 2013 el Programa reorientaron recursos para la implementación de los proyectos nacionales de sistemas de captación de agua pluvial, baños humedos con biodigestor autolimpiable y techos firmes, lo cual permitió aumentar este tipo de acciones.          El avance del indicador es realmente importante en tanto estas acciones aseguran los elementos de una vivienda con calidad en sus espacios, y siguen en importancia a las acciones de piso firme ejecutadas por el Programa. Efecto:  Otros Motivos:</t>
    </r>
  </si>
  <si>
    <r>
      <t xml:space="preserve">Pisos firmes en proyectos terminados por el Programa 
</t>
    </r>
    <r>
      <rPr>
        <sz val="10"/>
        <rFont val="Soberana Sans"/>
        <family val="2"/>
      </rPr>
      <t xml:space="preserve"> Causa : Durante el ejercicio fiscal 2013 el Programa reorientaron recursos para la implementación de los proyectos nacionales de sistemas de captación de agua pluvial, baños humedos con biodigestor autolimpiable y techos firmes.      Es necesario considerar que, debido a que en ejercicios anteriores se dio principal prioridad a las acciones de piso firme, el nivel de demanda de este tipo de apoyo se ha reducido.          A pesar de que el comportamiento del indicador tuvo una moderada tendencia a la baja respecto de la meta planificada al inicio del ejercicio fiscal, se considera que presenta un avance aceptable de acuerdo con el parámetro de semáforización amarillo-verde del indicador. Efecto:  Otros Motivos:</t>
    </r>
  </si>
  <si>
    <r>
      <t xml:space="preserve">Proyectos de estudios, investigaciones y levantamiento de información socioeconómica terminados por el Programa
</t>
    </r>
    <r>
      <rPr>
        <sz val="10"/>
        <rFont val="Soberana Sans"/>
        <family val="2"/>
      </rPr>
      <t xml:space="preserve"> Causa : La meta del indicador al segundo semestre de 2013 es 8,000.           Para el ejercicio 2013, y en atención a lo dispuesto en el Decreto por el que se establece el Sistema Nacional para la Cruzada Contra el Hambre, el PDZP priorizó realizar acciones hacia los territorios de la CNCH (sin contravenir a la población objetivo señalada en las Reglas de Operación del Programa).            Por razones geográficas y al ser más específico el territorio de acuerdo con la cobertura de CNCH, fue necesario consolidar las Cédulas de Información Socioeconómica en un menor número de proyectos, no obstante el número de viviendas encuestadas mediante el levantamiento de CUIS es superior a 200,000.            Con el levantamiento de información socioeconómica se logró obtener información de más de 200,000 viviendas (aunque agrupadas en un menor número de proyectos, en tanto su localización geográfica permitió agruparlas de esta manera), número mayor al que podrían haberse alcanzado con más proyectos en localidades muy alejadas o dispersas.          Por esta razón, el avance registrado en el indicador respecto de la meta planificada al inicio del ejercicio fiscal fue moderado, sin embargo las acciones realizadas impactaron significativamente en un mayor número de viviendas. Efecto:  Otros Motivos:</t>
    </r>
  </si>
  <si>
    <r>
      <t xml:space="preserve">Viviendas con estufa ecológica instalada en proyectos terminados por el Programa
</t>
    </r>
    <r>
      <rPr>
        <sz val="10"/>
        <rFont val="Soberana Sans"/>
        <family val="2"/>
      </rPr>
      <t xml:space="preserve"> Causa : La meta del indicador al segundo semestre de 2013 es 120,000.               La política pública que promueve el PDZP incentiva la participación conjunta de los distintos órdenes de gobierno en favor de acciones para el desarrollo de los territorios susceptibles de ser atendidos de acuerdo con las ROP; durante el ejercicio 2013, el Programa incentivo la participación financiera de los Gobiernos Estatales, Municipales y de los propios beneficiarios, con lo cual fue posible ampliar la meta alcanzada.          A pesar de que el avance del indicador respecto a la meta establecida al inicio del ejercicio fue superada ligeramente, se considera que éste presenta un comportamiento adecuado. Efecto:  Otros Motivos:</t>
    </r>
  </si>
  <si>
    <r>
      <t xml:space="preserve">Obras de saneamiento en proyectos terminados por el Programa
</t>
    </r>
    <r>
      <rPr>
        <sz val="10"/>
        <rFont val="Soberana Sans"/>
        <family val="2"/>
      </rPr>
      <t xml:space="preserve"> Causa : La meta del indicador al segundo semestre de 2013 es 155.            Durante el primer trimestre de 2013 existieron retrasos en la integración completa de expedientes por parte de los Ejecutores, lo que a su vez dificultó la aprobación de obras de saneamiento en las Delegaciones Federales de la SEDESOL.           Dado que este tipo de apoyo es uno de los más apremiantes en los territorios de cobertura del Programa, a partir del segundo semestre de 2013, las Delegaciones Federales de la SEDESOL redoblaron esfuerzos en la consolidación de los proyectos que venían retrasándose con antelación, por lo que al cierre del ejercicio fue posible atender, no sólo proyectos que estaban pendientes, sino también la demanda generada en este periodo.          Asimismo, durante el ejercicio 2013, el Programa incentivo la participación financiera de los Gobiernos Estatales, Municipales y de los propios beneficiarios, con lo cual fue posible ampliar la meta alcanzada.      Efecto:  Otros Motivos:</t>
    </r>
  </si>
  <si>
    <r>
      <t xml:space="preserve">Viviendas con energía eléctrica en proyectos terminados por el Programa
</t>
    </r>
    <r>
      <rPr>
        <sz val="10"/>
        <rFont val="Soberana Sans"/>
        <family val="2"/>
      </rPr>
      <t xml:space="preserve"> Causa : La meta del indicador al segundo semestre de 2013 es 37,000.          Debido a la carga de compromisos en la ejecución de acciones por parte de la Comisión Federal de Electricidad -derivado de los fenómenos meteorológicos ocasionados por las fuertes lluvias especialmente Ingrid y Manuel- y considerando que es ésta quien emite la validación técnico-normativa que exigen este tipo de proyectos, los procesos de ejecución se vieron retrasados, ocasionando una baja en el avance del indicador respecto a su meta durante este ejercicio fiscal.      Efecto:  Otros Motivos:</t>
    </r>
  </si>
  <si>
    <r>
      <t xml:space="preserve">Viviendas con agua en proyectos terminados por el Programa
</t>
    </r>
    <r>
      <rPr>
        <sz val="10"/>
        <rFont val="Soberana Sans"/>
        <family val="2"/>
      </rPr>
      <t xml:space="preserve"> Causa : La meta del indicador al segundo semestre es 48,333.           Durante el ejercicio fiscal 2013 el Programa reorientaron recursos para la implementación de los proyectos nacionales de sistemas de captación de agua pluvial, baños húmedos con biodigestor autolimpiable y techos firmes, siendo el primero una alternativa innovadora para dotar del líquido a aquellas viviendas que por su localización origina un elevado costo en la introducción de redes.          Estas acciones permitieron aumentar la dotación de este tipo de proyectos. A pesar de que el avance del indicador presenta una moderada alza respecto de la meta establecida al inicio del ejercicio fiscal, se considera que estas acciones son de carácter prioritario y coadyuvan de manera importante a la salud y bienestar de los habitantes de las viviendas beneficiadas, con lo cual es comportamiento observado es aceptable.      Efecto:  Otros Motivos:</t>
    </r>
  </si>
  <si>
    <r>
      <t xml:space="preserve">Rellenos sanitarios en proyectos terminados por el Programa
</t>
    </r>
    <r>
      <rPr>
        <sz val="10"/>
        <rFont val="Soberana Sans"/>
        <family val="2"/>
      </rPr>
      <t xml:space="preserve"> Causa : Durante el ejercicio fiscal 2013 el Programa reorientaron recursos para la implementación de los proyectos nacionales de sistemas de captación de agua pluvial, baños húmedos con biodigestor autolimpiable y techos firmes, lo que ocasionó variaciones en algunos otros apoyos.        A pesar de que el comportamiento del indicador tuvo una ligera tendencia a la baja respecto de la meta planificada al inicio del ejercicio fiscal (de un proyecto), se considera que presenta un avance aceptable.     Efecto:  Otros Motivos:</t>
    </r>
  </si>
  <si>
    <r>
      <t xml:space="preserve">Proyectos de construcción, reconstrucción, rehabilitación y/o equipamiento de infraestructura de salud terminados por el Programa
</t>
    </r>
    <r>
      <rPr>
        <sz val="10"/>
        <rFont val="Soberana Sans"/>
        <family val="2"/>
      </rPr>
      <t xml:space="preserve"> Causa : La meta del indicador al segundo semestre de 2013  es 200.              Con  objeto de contribuir con las acciones de la CNCH se reorientaron recursos a proyectos productivos con el fin de disminuir la carencia alimentaria, lo cual repercutió en la reducción de este tipo de acciones.      Efecto:  Otros Motivos:</t>
    </r>
  </si>
  <si>
    <r>
      <t xml:space="preserve">Proyectos de construcción, reconstrucción, rehabilitación y/o equipamiento de infraestructura de educación terminados por el Programa
</t>
    </r>
    <r>
      <rPr>
        <sz val="10"/>
        <rFont val="Soberana Sans"/>
        <family val="2"/>
      </rPr>
      <t xml:space="preserve"> Causa : La meta del indicador al segundo semestre de 2013  es 515.                Con  objeto de contribuir con las acciones de la CNCH se reorientaron recursos a proyectos productivos con el fin de disminuir la carencia alimentaria, lo cual repercutió en la reducción de este tipo de acciones.       Efecto:  Otros Motivos:</t>
    </r>
  </si>
  <si>
    <r>
      <t xml:space="preserve">Centros Públicos de Computo con acceso a Internet rehabilitados en proyectos terminados por el Programa
</t>
    </r>
    <r>
      <rPr>
        <sz val="10"/>
        <rFont val="Soberana Sans"/>
        <family val="2"/>
      </rPr>
      <t xml:space="preserve"> Causa : La meta del indicador al segundo semestre de 2013 es 650        La meta original del indicador se programó considerando que la rehabilitación de 650 de los CCA´s previstos originalmente, incluiría la adquisición y cambio de todos los equipos de cómputo, sin embargo, en las actividades de verificación en campo realizadas por las Delegaciones Federales fue posible constatar que un gran porcentaje de dichos equipos se encontraba en buenas condiciones, por lo que no todos los equipos requirieron inversiones importantes para el mejoramiento de aspectos tecnológicos; esto permitió ahorros considerables que fueron utilizados para realizar acciones complementarias (principalmente pintura nueva y arreglo de fachadas) que beneficiaron a más centros de los que originalmente se tenía programado. Efecto:  Otros Motivos:</t>
    </r>
  </si>
  <si>
    <r>
      <t xml:space="preserve">Proyectos de caminos rurales terminados por el Programa
</t>
    </r>
    <r>
      <rPr>
        <sz val="10"/>
        <rFont val="Soberana Sans"/>
        <family val="2"/>
      </rPr>
      <t xml:space="preserve"> Causa : La política pública que promueve el PDZP incentiva la participación conjunta de los distintos órdenes de gobierno en favor de acciones para el desarrollo de los territorios susceptibles de ser atendidos de acuerdo con las ROP; durante el ejercicio 2013, el Programa incentivo la participación financiera de los Gobiernos Estatales y Municipales; en este caso, la coordinación interinstitucional, permitió realizar más proyectos de caminos rurales en la cobertura del PDZP. Efecto:  Otros Motivos:</t>
    </r>
  </si>
  <si>
    <r>
      <t xml:space="preserve">Proyectos de sistemas de comunicación terminados por el Programa
</t>
    </r>
    <r>
      <rPr>
        <sz val="10"/>
        <rFont val="Soberana Sans"/>
        <family val="2"/>
      </rPr>
      <t xml:space="preserve"> Causa : La meta del indicador al segundo semestre de 2013 es 650.        A través de un Convenio Marco establecido durante el segundo semestre de 2013 entre la SEDESOL y la Secretaría de Comunicaciones y Transportes, esta última dependencia financió la conexión satelital a internet de 419 Centros Comunitarios de Aprendizaje con recursos del Fideicomiso e-México, que preside la SCT.        Es importante enfatizar que estos sistemas de conexión se realizaron con cargo al presupuesto del Fideicomiso e-México, por lo que no es posible contabilizar estas conexiones como parte del avance del PDZP en este indicador, a pesar de que la demanda identificada fue correctamente atendida.        Finalmente, cabe destacar que este Convenio permitió destinar recursos hacia la rehabilitación de un mayor número de Centros, entre otras acciones.  Efecto:  Otros Motivos:</t>
    </r>
  </si>
  <si>
    <r>
      <t xml:space="preserve">Proyectos de apoyo para la organización comunitaria y planeación participativa terminados por el Programa
</t>
    </r>
    <r>
      <rPr>
        <sz val="10"/>
        <rFont val="Soberana Sans"/>
        <family val="2"/>
      </rPr>
      <t xml:space="preserve"> Causa : La meta del indicador al segundo semestre de 2013 es 35.             El indicador presenta un comportamiento adecuado con respecto de la meta planificada.  Efecto:  Otros Motivos:</t>
    </r>
  </si>
  <si>
    <r>
      <t xml:space="preserve">Proyectos de promoción social y acciones para la coordinación entre ordenes de gobierno terminados por el Programa
</t>
    </r>
    <r>
      <rPr>
        <sz val="10"/>
        <rFont val="Soberana Sans"/>
        <family val="2"/>
      </rPr>
      <t xml:space="preserve"> Causa : La meta del indicador al segundo semestre de 2013 es 10.             El indicador presenta un comportamiento adecuado con respecto de la meta planificada.  Efecto:  Otros Motivos:</t>
    </r>
  </si>
  <si>
    <r>
      <t xml:space="preserve">Proyectos de servicio social comunitario promovidos por instituciones de educación superior,  media superior y organizaciones de la sociedad civil terminados por el Programa
</t>
    </r>
    <r>
      <rPr>
        <sz val="10"/>
        <rFont val="Soberana Sans"/>
        <family val="2"/>
      </rPr>
      <t xml:space="preserve"> Causa : La meta del indicador al segundo semestre de 2013 es 32.             El indicador presenta un comportamiento adecuado con respecto de la meta planificada.  Efecto:  Otros Motivos:</t>
    </r>
  </si>
  <si>
    <r>
      <t xml:space="preserve">Proyectos de infraestructura productiva comunitaria terminados por el Programa
</t>
    </r>
    <r>
      <rPr>
        <sz val="10"/>
        <rFont val="Soberana Sans"/>
        <family val="2"/>
      </rPr>
      <t xml:space="preserve"> Causa : Con objeto de contribuir con las acciones de la CNCH se apoyó la realización de proyectos que favorecen la disminución de la carencia alimentaria en municipios de alta y muy alta marginación, así como en comunidades que a pesar de encontrarse fuera de la cobertura del programa (por estar ubicadas dentro de localidades con marginación media, baja o muy baja), presentan un alto grado de rezago y no habían sido objeto de atención. El PDZP llevó a cabo estas acciones, contribuyendo así con los objetivos de la CNCH.      Entre estas acciones destaca la realización de 400 huertos de traspatio, 13 bodegas de aguacate, 1 proyecto para la producción primaria de la actividad apícola y 1 proyecto para la construcción de un invernadero de chile jalapeño.       Información preliminar con corte al 14 de enero de 2014 Efecto:  Otros Motivos:</t>
    </r>
  </si>
  <si>
    <r>
      <t xml:space="preserve">Proyectos de infraestructura deportiva terminados por el Programa
</t>
    </r>
    <r>
      <rPr>
        <sz val="10"/>
        <rFont val="Soberana Sans"/>
        <family val="2"/>
      </rPr>
      <t xml:space="preserve"> Causa : Durante el ejercicio 2013, el Programa incentivo la participación financiera de los Gobiernos Estatales y Municipales; en este caso, la coordinación interinstitucional, permitió realizar más proyectos que los que se tenía contemplado al principio del ejercicio.              Particularmente, con la contribución financiera por parte de los Gobiernos Estatales y Ayuntamientos se logró incrementar las acciones en materia de infraestructura deportiva, las cuales favorecen a la disminución del índice de delincuencia y reconstrucción del tejido social en los territorios beneficiados, generando espacios para la salud y el esparcimiento. Efecto:  Otros Motivos:</t>
    </r>
  </si>
  <si>
    <r>
      <t xml:space="preserve">Número de viviendas con servicio sanitario en proyectos aprobados por el Programa
</t>
    </r>
    <r>
      <rPr>
        <sz val="10"/>
        <rFont val="Soberana Sans"/>
        <family val="2"/>
      </rPr>
      <t xml:space="preserve"> Causa : Durante el ejercicio fiscal 2013 el Programa reorientó recursos para la implementación de los proyectos nacionales de sistemas de captación de agua pluvial, baños húmedos con biodigestor autolimpiable y techos firmes.     A pesar de que el comportamiento del indicador tuvo una ligera tendencia a la baja respecto de la meta planificada al inicio del ejercicio fiscal, se considera que presenta un avance aceptable de acuerdo con el parámetro de semáforización amarillo-verde del indicador.      Efecto:  Otros Motivos:</t>
    </r>
  </si>
  <si>
    <r>
      <t xml:space="preserve">Viviendas con muros reforzados y techos en proyectos aprobados por el programa
</t>
    </r>
    <r>
      <rPr>
        <sz val="10"/>
        <rFont val="Soberana Sans"/>
        <family val="2"/>
      </rPr>
      <t xml:space="preserve"> Causa : Durante el ejercicio fiscal 2013 el Programa reorientaron recursos para la implementación de los proyectos nacionales de sistemas de captación de agua pluvial, baños humedos con biodigestor autolimpiable y techos firmes, lo cual permitió aumentar este tipo de acciones.          El avance del indicador es realmente importante en tanto estas acciones aseguran los elementos de una vivienda con calidad en sus espacios, y siguen en importancia a las acciones de piso firme ejecutadas por el Programa. Efecto:  Otros Motivos:</t>
    </r>
  </si>
  <si>
    <r>
      <t xml:space="preserve">Proyectos de estudios, investigaciones y levantamiento de información socioeconómica aprobados por el Programa
</t>
    </r>
    <r>
      <rPr>
        <sz val="10"/>
        <rFont val="Soberana Sans"/>
        <family val="2"/>
      </rPr>
      <t xml:space="preserve"> Causa : La meta del indicador al cuarto trimestre de 2013 es 8,000.           Para el ejercicio 2013, y en atención a lo dispuesto en el Decreto por el que se establece el Sistema Nacional para la Cruzada Contra el Hambre, el PDZP priorizó realizar acciones hacia los territorios de la CNCH (sin contravenir a la población objetivo señalada en las Reglas de Operación del Programa).            Por razones geográficas y al ser más específico el territorio de acuerdo con la cobertura de CNCH, fue necesario consolidar las Cédulas de Información Socioeconómica en un menor número de proyectos, no obstante el número de viviendas encuestadas mediante el levantamiento de CUIS es superior a 200,000.            Con el levantamiento de información socioeconómica se logró obtener información de más de 200,000 viviendas (aunque agrupadas en un menor número de proyectos, en tanto su localización geográfica permitió agruparlas de esta manera), número mayor al que podrían haberse alcanzado con más proyectos en localidades muy alejadas o dispersas.          Por esta razón, el avance registrado en el indicador respecto de la meta planificada al inicio del ejercicio fiscal fue moderado, sin embargo las acciones realizadas impactaron significativamente en un mayor número de viviendas. Efecto:  Otros Motivos:</t>
    </r>
  </si>
  <si>
    <r>
      <t xml:space="preserve">Pisos firmes en proyectos aprobados por el Programa
</t>
    </r>
    <r>
      <rPr>
        <sz val="10"/>
        <rFont val="Soberana Sans"/>
        <family val="2"/>
      </rPr>
      <t xml:space="preserve"> Causa : Durante el ejercicio fiscal 2013 el Programa reorientaron recursos para la implementación de los proyectos nacionales de sistemas de captación de agua pluvial, baños humedos con biodigestor autolimpiable y techos firmes.      Es necesario considerar que, debido a que en ejercicios anteriores se dio principal prioridad a las acciones de piso firme, el nivel de demanda de este tipo de apoyo se ha reducido.          A pesar de que el comportamiento del indicador tuvo una moderada tendencia a la baja respecto de la meta planificada al inicio del ejercicio fiscal, se considera que presenta un avance aceptable de acuerdo con el parámetro de semáforización amarillo-verde del indicador.           Efecto:  Otros Motivos:</t>
    </r>
  </si>
  <si>
    <r>
      <t xml:space="preserve">Viviendas con servicio de energía eléctrica en proyectos aprobados por el Programa
</t>
    </r>
    <r>
      <rPr>
        <sz val="10"/>
        <rFont val="Soberana Sans"/>
        <family val="2"/>
      </rPr>
      <t xml:space="preserve"> Causa : La meta del indicador al cuarto trimestre de 2013 es 37,000.        Debido a la carga de compromisos en la ejecución de acciones por parte de la Comisión Federal de Electricidad -derivado de los fenómenos meteorológicos ocasionados por las fuertes lluvias especialmente Ingrid y Manuel- y considerando que es ésta quien emite la validación técnico-normativa que exigen este tipo de proyectos, los procesos de ejecución se vieron retrasados, ocasionando una baja en el avance del indicador respecto a su meta durante este ejercicio fiscal.     Efecto:  Otros Motivos:</t>
    </r>
  </si>
  <si>
    <r>
      <t xml:space="preserve">Número de viviendas con servicio de agua en proyectos aprobados por el Programa
</t>
    </r>
    <r>
      <rPr>
        <sz val="10"/>
        <rFont val="Soberana Sans"/>
        <family val="2"/>
      </rPr>
      <t xml:space="preserve"> Causa : La meta del indicador al cuarto trimestre es 48,333.             Durante el ejercicio fiscal 2013 el Programa reorientaron recursos para la implementación de los proyectos nacionales de sistemas de captación de agua pluvial, baños húmedos con biodigestor autolimpiable y techos firmes, siendo el primero una alternativa innovadora para dotar del líquido a aquellas viviendas que por su localización origina un elevado costo en la introducción de redes.            Estas acciones permitieron aumentar la dotación de este tipo de proyectos. A pesar de que el avance del indicador presenta una moderada alza respecto de la meta establecida al inicio del ejercicio fiscal, se considera que estas acciones son de carácter prioritario y coadyuvan de manera importante a la salud y bienestar de los habitantes de las viviendas beneficiadas, con lo cual es comportamiento observado es aceptable. Efecto:  Otros Motivos:</t>
    </r>
  </si>
  <si>
    <r>
      <t xml:space="preserve">Viviendas en proyectos de instalación de estufas ecológicas aprobados por el Programa
</t>
    </r>
    <r>
      <rPr>
        <sz val="10"/>
        <rFont val="Soberana Sans"/>
        <family val="2"/>
      </rPr>
      <t xml:space="preserve"> Causa : La meta del indicador al cuarto trimestre de 2013 es 120,000.               La política pública que promueve el PDZP incentiva la participación conjunta de los distintos órdenes de gobierno en favor de acciones para el desarrollo de los territorios susceptibles de ser atendidos de acuerdo con las ROP; durante el ejercicio 2013, el Programa incentivo la participación financiera de los Gobiernos Estatales, Municipales y de los propios beneficiarios, con lo cual fue posible ampliar la meta alcanzada.          A pesar de que el avance del indicador respecto a la meta establecida al inicio del ejercicio fue superada ligeramente, se considera que éste presenta un comportamiento adecuado. Efecto:  Otros Motivos:</t>
    </r>
  </si>
  <si>
    <r>
      <t xml:space="preserve">Obras de saneamiento aprobadas
</t>
    </r>
    <r>
      <rPr>
        <sz val="10"/>
        <rFont val="Soberana Sans"/>
        <family val="2"/>
      </rPr>
      <t xml:space="preserve"> Causa : La meta del indicador al cuarto trimestre de 2013 es 155.            Durante el primer trimestre de 2013 existieron retrasos en la integración completa de expedientes por parte de los Ejecutores, lo que a su vez dificultó la aprobación de obras de saneamiento en las Delegaciones Federales de la SEDESOL.           Dado que este tipo de apoyo es uno de los más apremiantes en los territorios de cobertura del Programa, a partir del segundo semestre de 2013, las Delegaciones Federales de la SEDESOL redoblaron esfuerzos en la consolidación de los proyectos que venían retrasándose con antelación, por lo que al cierre del ejercicio fue posible atender, no sólo proyectos que estaban pendientes, sino también la demanda generada en este periodo.          Asimismo, durante el ejercicio 2013, el Programa incentivo la participación financiera de los Gobiernos Estatales, Municipales y de los propios beneficiarios, con lo cual fue posible ampliar la meta alcanzada.      Efecto:  Otros Motivos:</t>
    </r>
  </si>
  <si>
    <r>
      <t xml:space="preserve">Rellenos sanitarios en proyectos aprobados por el Programa
</t>
    </r>
    <r>
      <rPr>
        <sz val="10"/>
        <rFont val="Soberana Sans"/>
        <family val="2"/>
      </rPr>
      <t xml:space="preserve"> Causa : Durante el ejercicio fiscal 2013 el Programa reorientaron recursos para la implementación de los proyectos nacionales de sistemas de captación de agua pluvial, baños húmedos con biodigestor autolimpiable y techos firmes, lo que ocasionó variaciones en algunos otros apoyos.        A pesar de que el comportamiento del indicador tuvo una ligera tendencia a la baja respecto de la meta planificada al inicio del ejercicio fiscal (de un proyecto), se considera que presenta un avance aceptable.     Efecto:  Otros Motivos:</t>
    </r>
  </si>
  <si>
    <r>
      <t xml:space="preserve">Centros Públicos de Cómputo con acceso a Internet en proyectos aprobados por el Programa
</t>
    </r>
    <r>
      <rPr>
        <sz val="10"/>
        <rFont val="Soberana Sans"/>
        <family val="2"/>
      </rPr>
      <t xml:space="preserve"> Causa : La meta del indicador al cuarto trimestre de 2013 es 650        La meta original del indicador se programó considerando que la rehabilitación de 650 de los CCA´s previstos originalmente, incluiría la adquisición y cambio de todos los equipos de cómputo, sin embargo, en las actividades de verificación en campo realizadas por las Delegaciones Federales fue posible constatar que un gran porcentaje de dichos equipos se encontraba en buenas condiciones, por lo que no todos los equipos requirieron inversiones importantes para el mejoramiento de aspectos tecnológicos; esto permitió ahorros considerables que fueron utilizados para realizar acciones complementarias (principalmente pintura nueva y arreglo de fachadas) que beneficiaron a más centros de los que originalmente se tenía programado. Efecto:  Otros Motivos:</t>
    </r>
  </si>
  <si>
    <r>
      <t xml:space="preserve">Proyectos de construcción, reconstrucción, rehabilitación y/o equipamiento de infraestructura de salud aprobados por el Programa
</t>
    </r>
    <r>
      <rPr>
        <sz val="10"/>
        <rFont val="Soberana Sans"/>
        <family val="2"/>
      </rPr>
      <t xml:space="preserve"> Causa : La meta del indicador al cuarto trimestre de 2013  es 200.            Con  objeto de contribuir con las acciones de la CNCH se reorientaron recursos a proyectos productivos con el fin de disminuir la carencia alimentaria, lo cual repercutió en la reducción de este tipo de acciones.     Efecto:  Otros Motivos:</t>
    </r>
  </si>
  <si>
    <r>
      <t xml:space="preserve">Proyectos de construcción, reconstrucción, rehabilitación y/o equipamiento de infraestructura de educación aprobados por el Programa
</t>
    </r>
    <r>
      <rPr>
        <sz val="10"/>
        <rFont val="Soberana Sans"/>
        <family val="2"/>
      </rPr>
      <t xml:space="preserve"> Causa : La meta del indicador al cuarto trimestre de 2013  es 515            Con  objeto de contribuir con las acciones de la CNCH se reorientaron recursos a proyectos productivos con el fin de disminuir la carencia alimentaria, lo cual repercutió en la reducción de este tipo de acciones. Efecto:  Otros Motivos:</t>
    </r>
  </si>
  <si>
    <r>
      <t xml:space="preserve">Proyectos de sistemas de comunicación aprobados por el Programa
</t>
    </r>
    <r>
      <rPr>
        <sz val="10"/>
        <rFont val="Soberana Sans"/>
        <family val="2"/>
      </rPr>
      <t xml:space="preserve"> Causa : La meta del indicador al segundo semestre de 2013 es 650.        A través de un Convenio Marco establecido durante el segundo semestre de 2013 entre la SEDESOL y la Secretaría de Comunicaciones y Transportes, esta última dependencia financió la conexión satelital a internet de 419 Centros Comunitarios de Aprendizaje con recursos del Fideicomiso e-México, que preside la SCT.        Es importante enfatizar que estos sistemas de conexión se realizaron con cargo al presupuesto del Fideicomiso e-México, por lo que no es posible contabilizar estas conexiones como parte del avance del PDZP en este indicador, a pesar de que la demanda identificada fue correctamente atendida.        Finalmente, cabe destacar que este Convenio permitió destinar recursos hacia la rehabilitación de un mayor número de Centros, entre otras acciones.  Efecto:  Otros Motivos:</t>
    </r>
  </si>
  <si>
    <r>
      <t xml:space="preserve">Proyectos de apoyo para la organización comunitaria y planeación participativa aprobados por el Programa
</t>
    </r>
    <r>
      <rPr>
        <sz val="10"/>
        <rFont val="Soberana Sans"/>
        <family val="2"/>
      </rPr>
      <t xml:space="preserve"> Causa : La meta del indicador al cuarto trimestre de 2013 es 35.             El indicador presenta un comportamiento adecuado con respecto de la meta planificada.  Efecto:  Otros Motivos:</t>
    </r>
  </si>
  <si>
    <r>
      <t xml:space="preserve">Proyectos de Promoción social y acciones para la coordinación entre ordenes de gobierno aprobados por el Programa
</t>
    </r>
    <r>
      <rPr>
        <sz val="10"/>
        <rFont val="Soberana Sans"/>
        <family val="2"/>
      </rPr>
      <t xml:space="preserve"> Causa : La meta del indicador al cuarto trimestre de 2013 es 10.             El indicador presenta un comportamiento adecuado con respecto de la meta planificada.  Efecto:  Otros Motivos:</t>
    </r>
  </si>
  <si>
    <r>
      <t xml:space="preserve">Proyectos de caminos rurales aprobados por el Programa
</t>
    </r>
    <r>
      <rPr>
        <sz val="10"/>
        <rFont val="Soberana Sans"/>
        <family val="2"/>
      </rPr>
      <t xml:space="preserve"> Causa : La política pública que promueve el PDZP incentiva la participación conjunta de los distintos órdenes de gobierno en favor de acciones para el desarrollo de los territorios susceptibles de ser atendidos de acuerdo con las ROP; durante el ejercicio 2013, el Programa incentivo la participación financiera de los Gobiernos Estatales y Municipales; en este caso, la coordinación interinstitucional, permitió realizar más proyectos de caminos rurales en la cobertura del PDZP. Efecto:  Otros Motivos:</t>
    </r>
  </si>
  <si>
    <r>
      <t xml:space="preserve">Proyectos de servicio social comunitario promovidos por instituciones de educación superior, media superior y organizaciones de la sociedad civil aprobados por el Programa
</t>
    </r>
    <r>
      <rPr>
        <sz val="10"/>
        <rFont val="Soberana Sans"/>
        <family val="2"/>
      </rPr>
      <t xml:space="preserve"> Causa : La meta del indicador al cuarto trimestre de 2013 es 32.             El indicador presenta un comportamiento adecuado con respecto de la meta planificada.  Efecto:  Otros Motivos:</t>
    </r>
  </si>
  <si>
    <r>
      <t xml:space="preserve">Proyectos de infraestructura productiva aprobados por el Programa
</t>
    </r>
    <r>
      <rPr>
        <sz val="10"/>
        <rFont val="Soberana Sans"/>
        <family val="2"/>
      </rPr>
      <t xml:space="preserve"> Causa : Con objeto de contribuir con las acciones de la CNCH se apoyó la realización de proyectos que favorecen la disminución de la carencia alimentaria en dentro municipios del universo de la CNCH cuya característica es presentar niveles de alta y muy alta marginación, así como en comunidades que a pesar de encontrarse fuera de la cobertura del programa (por estar ubicadas dentro de localidades con marginación media, baja o muy baja), presentan alto grado de rezago y no habían sido objeto de atención. El PDZP llevó a cabo estas acciones, contribuyendo así con los objetivos y la atención de los territorios de la CNCH.        Entre estas acciones destaca la realización de 368 huertos de traspatio, 13 bodegas de aguacate, 1 proyecto para la producción primaria (actividad apícola), 1 proyecto para la construcción de un invernadero de chile jalapeño y 1 proyecto para la construcción de gallineros.  Efecto:  Otros Motivos:</t>
    </r>
  </si>
  <si>
    <r>
      <t xml:space="preserve">Proyectos de infraestructura deportiva aprobados por el Programa
</t>
    </r>
    <r>
      <rPr>
        <sz val="10"/>
        <rFont val="Soberana Sans"/>
        <family val="2"/>
      </rPr>
      <t xml:space="preserve"> Causa : Durante el ejercicio 2013, el Programa incentivo la participación financiera de los Gobiernos Estatales y Municipales; en este caso, la coordinación interinstitucional, permitió realizar más proyectos que los que se tenía contemplado al principio del ejercicio.        Particularmente, con la contribución financiera por parte de los Gobiernos Estatales y Ayuntamientos se logró incrementar las acciones en materia de infraestructura deportiva, las cuales favorecen a la disminución del índice de delincuencia y reconstrucción del tejido social en los territorios beneficiados, generando espacios para la salud y el esparcimiento. Efecto:  Otros Motivos:</t>
    </r>
  </si>
  <si>
    <r>
      <t xml:space="preserve">Comités comunitarios de contraloria social integrados por el Programa
</t>
    </r>
    <r>
      <rPr>
        <sz val="10"/>
        <rFont val="Soberana Sans"/>
        <family val="2"/>
      </rPr>
      <t xml:space="preserve"> Causa : El indicador Comités Comunitarios de Contraloría Social integrados por el Programa registró un avance ligeramente por debajo de la meta planificada al inicio del ejercicio fiscal, debido principalmente a problemas en el funcionamiento del Sistema de Información de la Contraloría Social (SICS) operado por la Secretaría de la Función Pública.  Los problemas de operación impidieron el registro oportuno de un mayor número de Comités.            Finalmente, debe comentarse que, durante el cuarto trimestre de 2013 existió gran rotación de personal en las Delegaciones Federales de la SEDESOL, en particular personal de campo que fungían como enlace de Contraloría Social hecho que condujo a retrasos en la integración de Comités durante este último trimestre.        A pesar de que el comportamiento del indicador tuvo una ligera tendencia a la baja respecto de la meta planificada al inicio del ejercicio fiscal, se considera que presenta un avance aceptable de acuerdo con el parámetro de semoforización del indicador. Efecto:  Otros Motivos:</t>
    </r>
  </si>
  <si>
    <r>
      <t xml:space="preserve">Eventos de capacitación acerca de las acciones del Programa
</t>
    </r>
    <r>
      <rPr>
        <sz val="10"/>
        <rFont val="Soberana Sans"/>
        <family val="2"/>
      </rPr>
      <t xml:space="preserve"> Causa : El indicador presenta un comportamiento adecuado con respecto de la meta planificada. Efecto:  Otros Motivos:</t>
    </r>
  </si>
  <si>
    <r>
      <t xml:space="preserve">Eventos de difusión aprobados por el Programa
</t>
    </r>
    <r>
      <rPr>
        <sz val="10"/>
        <rFont val="Soberana Sans"/>
        <family val="2"/>
      </rPr>
      <t xml:space="preserve"> Causa : El indicador presenta un comportamiento adecuado con respecto de la meta planificada. Efecto:  Otros Motivos:</t>
    </r>
  </si>
  <si>
    <t>U008</t>
  </si>
  <si>
    <t>Subsidios a programas para jóvenes</t>
  </si>
  <si>
    <t>VUY-Instituto Mexicano de la Juventud</t>
  </si>
  <si>
    <t>16 - Juventud</t>
  </si>
  <si>
    <t xml:space="preserve">Contribuir con una política pública transversal a través de la coordinación institucional que trascienda a todos los niveles de gobierno para generar sinergias que garanticen el desarrollo integral de calidad de los jóvenes y lograr así que sean actores protagónicos y definitorios del rumbo de la nación.  </t>
  </si>
  <si>
    <r>
      <t>Porcentaje de instancias estatales y municipales de juventud apoyadas.</t>
    </r>
    <r>
      <rPr>
        <i/>
        <sz val="10"/>
        <color indexed="30"/>
        <rFont val="Soberana Sans"/>
        <family val="3"/>
      </rPr>
      <t xml:space="preserve">
Indicador Seleccionado</t>
    </r>
  </si>
  <si>
    <t>(Número de Instancias estatales y municipales apoyadas / Total de instancias estatales y municipales creadas) X 100</t>
  </si>
  <si>
    <t>La política pública trasversal se articula a través de la coordinación institucional.</t>
  </si>
  <si>
    <r>
      <t>Porcentaje de Instancias municipales de Juventud creadas por cabildo.</t>
    </r>
    <r>
      <rPr>
        <i/>
        <sz val="10"/>
        <color indexed="30"/>
        <rFont val="Soberana Sans"/>
        <family val="3"/>
      </rPr>
      <t xml:space="preserve">
</t>
    </r>
  </si>
  <si>
    <t>(Número de instancias municipales de juventud creadas por cabildo a nivel nacional / Total de instancias municipales de juventud registradas en el instituto)*100</t>
  </si>
  <si>
    <t>A Jóvenes que obtuvieron un servicio en la red nacional de Espacios Poder Joven.</t>
  </si>
  <si>
    <r>
      <t>Porcentaje de servicios otorgados en la red nacional de Espacios Poder Joven.</t>
    </r>
    <r>
      <rPr>
        <i/>
        <sz val="10"/>
        <color indexed="30"/>
        <rFont val="Soberana Sans"/>
        <family val="3"/>
      </rPr>
      <t xml:space="preserve">
</t>
    </r>
  </si>
  <si>
    <t>(Número de servicios otorgados en la Red Nacional de Espacios Poder Joven / Total de servicios solicitados) X 100</t>
  </si>
  <si>
    <t>B Estimular la participación y el asociacionismo de la población juvenil en el desarrollo del país y apoyar las actividades que se realizan desde la sociedad civil en el beneficio de los jóvenes.</t>
  </si>
  <si>
    <r>
      <t>Porcentaje de Organizaciones apoyadas</t>
    </r>
    <r>
      <rPr>
        <i/>
        <sz val="10"/>
        <color indexed="30"/>
        <rFont val="Soberana Sans"/>
        <family val="3"/>
      </rPr>
      <t xml:space="preserve">
</t>
    </r>
  </si>
  <si>
    <t>(Numero de las asociaciones apoyadas / Total de asociaciones participantes) X 100</t>
  </si>
  <si>
    <t>Acción</t>
  </si>
  <si>
    <t>C Instancias públicas, privadas o civiles de los programas y proyectos que promueven la participación de los jóvenes por medio del reconocimiento y protección de su ciudadanía.</t>
  </si>
  <si>
    <r>
      <t>Porcentaje de instancias concertadas por programas del instituto que promueven la participación juvenil.</t>
    </r>
    <r>
      <rPr>
        <i/>
        <sz val="10"/>
        <color indexed="30"/>
        <rFont val="Soberana Sans"/>
        <family val="3"/>
      </rPr>
      <t xml:space="preserve">
</t>
    </r>
  </si>
  <si>
    <t>(Número de instancias concertadas / total de Instancias públicas, Privadas o civiles contactadas) * 100</t>
  </si>
  <si>
    <t>A 1 Facilitar el acceso de los jóvenes a herramientas de tecnología que completen su formación y educación a efecto de contribuir en la mejora de sus condiciones de vida.</t>
  </si>
  <si>
    <r>
      <t>Porcentaje de jóvenes beneficiados con el programa de Espacios Poder Joven.</t>
    </r>
    <r>
      <rPr>
        <i/>
        <sz val="10"/>
        <color indexed="30"/>
        <rFont val="Soberana Sans"/>
        <family val="3"/>
      </rPr>
      <t xml:space="preserve">
</t>
    </r>
  </si>
  <si>
    <t>(Número de jovenes beneficiados en la red nacional de espacios poder joven / Total de jovenes que solicitan el servicio) X 100</t>
  </si>
  <si>
    <t>A 2 Facilitar el acceso de los jóvenes a herramientas de tecnología que complementen su formación y educación a efecto de contribuir en la mejora de sus condiciones de vida.</t>
  </si>
  <si>
    <r>
      <t>Porcentaje de horas transmitidas de los programas Poder Joven radio y TV</t>
    </r>
    <r>
      <rPr>
        <i/>
        <sz val="10"/>
        <color indexed="30"/>
        <rFont val="Soberana Sans"/>
        <family val="3"/>
      </rPr>
      <t xml:space="preserve">
</t>
    </r>
  </si>
  <si>
    <t>(Número de horas Trasmitidas de Radio y Tv Poder Joven a nivel nacional / Numero de horas programadas de Radio y Tv Poder Joven a nivel nacional ) X 100</t>
  </si>
  <si>
    <t>A 3 Facilitar el acceso de los jóvenes a herramientas de tecnología que completen su formación y educación, a efecto de contribuir en la mejora de sus condiciones de vida.</t>
  </si>
  <si>
    <r>
      <t>Porcentaje de Espacios Poder Joven apoyados</t>
    </r>
    <r>
      <rPr>
        <i/>
        <sz val="10"/>
        <color indexed="30"/>
        <rFont val="Soberana Sans"/>
        <family val="3"/>
      </rPr>
      <t xml:space="preserve">
</t>
    </r>
  </si>
  <si>
    <t>(Número de espacios Poder Joven apoyados / Total de espacios Poder Joven existentes) X 100</t>
  </si>
  <si>
    <t>Apoyo</t>
  </si>
  <si>
    <t>Gestión-Eficacia-Anual</t>
  </si>
  <si>
    <t>B 4 Estimular la participacion y el asocianismo de la población juvenil en el desrrollo del país y apoyar las actividades que se realizan desde la sociedad civil en el beneficio de los jovenes</t>
  </si>
  <si>
    <r>
      <t>Porcentaje de asociaciones participantes en la convocatoria de apoyo a proyectos juveniles.</t>
    </r>
    <r>
      <rPr>
        <i/>
        <sz val="10"/>
        <color indexed="30"/>
        <rFont val="Soberana Sans"/>
        <family val="3"/>
      </rPr>
      <t xml:space="preserve">
</t>
    </r>
  </si>
  <si>
    <t>(Número de asociaciones participantes / Total de Organizaciones participantes) X 100</t>
  </si>
  <si>
    <t>C 5 Acercar a los jóvenes una oferta atractiva de servicios a precios preferenciales mediante la celebración de convenios o acuerdos con empresas e instituciones de los sectores público, social y privado.</t>
  </si>
  <si>
    <r>
      <t>Porcentaje de tarjetas Poder Joven distribuidas</t>
    </r>
    <r>
      <rPr>
        <i/>
        <sz val="10"/>
        <color indexed="30"/>
        <rFont val="Soberana Sans"/>
        <family val="3"/>
      </rPr>
      <t xml:space="preserve">
</t>
    </r>
  </si>
  <si>
    <t>(Número de tarjetas distribuidas a nivel nacional / Total de tarjeta registrada) X 100</t>
  </si>
  <si>
    <t>C 6 Impulsar el desarrollo juvenil a través de espacios de expresióny participación en diversas áreas del quehacer cotidiano, académico, productivo, cultural, social, protección del medio ambiente, y carta a mis padres.</t>
  </si>
  <si>
    <r>
      <t>Porcentaje de proyectos beneficiados</t>
    </r>
    <r>
      <rPr>
        <i/>
        <sz val="10"/>
        <color indexed="30"/>
        <rFont val="Soberana Sans"/>
        <family val="3"/>
      </rPr>
      <t xml:space="preserve">
</t>
    </r>
  </si>
  <si>
    <t>(Número de proyectos beneficiados / Total de proyectos dictaminados) X 100</t>
  </si>
  <si>
    <r>
      <t xml:space="preserve">Porcentaje de instancias estatales y municipales de juventud apoyadas.
</t>
    </r>
    <r>
      <rPr>
        <sz val="10"/>
        <rFont val="Soberana Sans"/>
        <family val="2"/>
      </rPr>
      <t xml:space="preserve"> Causa : ¿ El Instituto Mexicano de la Juventud, estableció para 2013 el indicador estratégico ¿Porcentaje de instancias estatales y municipales de juventud apoyadas¿, con la finalidad de fomentar el desarrollo y el fortalecimiento de las Instancias de Juventud y  generar acciones que permitan promover los derechos de la población juvenil a nivel estatal y municipal; lo anterior a fin de contribuir con una política pública de juventud transversal.  Al final del ejercicio 2013 se observó un porcentaje de cumplimiento del 66.7% respecto a lo programado, lo cual significo el apoyo a 88 Instancias de Juventud: 28 de las 32 estatales y 60 de las 100 municipales. Este comportamiento se explica principalmente por lo siguiente:    En relación a las Instancias Estatales, en el presente ejercicio, solo se contó con la participación 29 instancias, exceptuando Nuevo León, Distrito Federal y Zacatecas, debido a que no cumplieron,  en tiempo y forma, con la comprobación de recurso de ejercicios anteriores.    Efecto:  Los beneficios económicos y sociales alcanzados con este indicador de fin, contribuyeron a fortalecer a las Instancias Estatales y Municipales de Juventud, a través de la coordinación entre estas y el IMJUVE.    Con ello, las Instancias de Juventud impulsan acciones que permitan atender necesidades de la población joven y que promuevan el desarrollo y bienestar de la población joven.   Además, se promueven programas del Gobierno Federal que pueden tener resultar en beneficio para los jóvenes de su localidad.   También se articulan programas multisectoriales que el IMJUVE acuerde con instituciones y dependencias de la APF y Estatal, así como instituciones privadas y OSC fortaleciendo la transversalidad.   ¿ Los proyectos beneficiados correspondieron a diversas temáticas:   - Ciudadanía 51%( Acciones específicas: Proyectos juveniles; asociacionismo juvenil; formación y acompañamiento; Encuentros juveniles; medio ambiente; Servicios Culturales, Certámenes juveniles.)   - Salud 22% (Acciones específicas: Prevención de adicciones: Tabaco y Drogas; prevención de adicción y abuso de consumo: Alcohol.)   - Trabajo 16%(Acciones específicas: Fortalecimiento al trabajo y emprendedores juveniles)   - Educación 8% (Acciones específicas: Investigación y Difusión; proyectos generales de educación)   - Justicia 1% (Acciones Específicas: Equidad y Género; Apoyo a jóvenes indígenas y migrantes, Derechos Humanos)    Otros Motivos:</t>
    </r>
  </si>
  <si>
    <r>
      <t xml:space="preserve">Porcentaje de Instancias municipales de Juventud creadas por cabildo.
</t>
    </r>
    <r>
      <rPr>
        <sz val="10"/>
        <rFont val="Soberana Sans"/>
        <family val="2"/>
      </rPr>
      <t xml:space="preserve"> Causa : ¿ El Instituto Mexicano de la Juventud para 2013, estableció el indicador estratégico ¿Porcentaje de Instancias municipales de Juventud creadas por cabildo¿, que mide el número de instancias municipales de juventud creadas por cabildo. Al cierre del año, se alcanzó una meta de 41 instancias municipales de juventud creadas por cabildo, lo que significó un porcentaje de cumplimiento del 137% respecto de la meta aprobada. Este comportamiento se explica principalmente por lo siguiente:  ¿ El incremento presupuestal en el programa Apoyo al Fortalecimiento de Instancias Municipales de Juventud, la cual permitió el aumento en al número de Instancias Municipales de nueva creación.   ¿ Además, de la eficiente y oportuna asesoría proporcionada por el Instituto a los municipios para la creación de instancias.   Efecto: ¿ Con este indicador de propósito se crearon 41 instancias Municipales de Juventud con la finalidad de que se impulsen acciones que permitan atender las necesidades juveniles municipales.  ¿ Las Instancias Municipales de Juventud creadas fueron:   ¿ Nayarit: Amatlán, Tuxpan,   ¿ Michoacán: Nocupetaro, Parácuaro, Nocupetaro de Morelos, Chilchota, Yurécuaro.   ¿ Oaxaca: Santiago Nuyoo, Magdalena Tequisistlán, Santa Ana Tevela, Santiago Atitlán, San Bartolo Yautepec.  ¿ Nuevo león: El Carmen.  ¿ Veracruz:  Ángel R. cebada, Alvarado, Mecayapan, Medellin de Bravo, Tampico el Alto, Mariano Escobedo, Fabio Altamirano, Macatlán, Cerro Azul, Chinampa de Gorostiza, Alto Lucero de Gutiérrez Barrios, Apazapan, Landero, Coss,  ¿ Tabasco: Jonuta, Paraíso,   ¿ Hidalgo: San Felipe Oxizatlán.  ¿ Querétaro: Ezequiel Montes, Peñamiller, Tolimar, Landa de Matamoros.  ¿ Gerrero: Huitzuco de los Figueroa, Pungarabato, Chilpa de Álvarez.  ¿ Morelos: Mazatepec.  ¿ Chiapas: Teopisa, Tila.  ¿ Campeche: Campeche   Otros Motivos:</t>
    </r>
  </si>
  <si>
    <r>
      <t xml:space="preserve">Porcentaje de servicios otorgados en la red nacional de Espacios Poder Joven.
</t>
    </r>
    <r>
      <rPr>
        <sz val="10"/>
        <rFont val="Soberana Sans"/>
        <family val="2"/>
      </rPr>
      <t xml:space="preserve"> Causa : La meta programada se superó ampliamente en virtud de que sumaron a la Red Nacional de Espacios Poder Joven más de 100 Espacios asociados (aquellos que no recibieron recurso federal durante el 2013, pero reportaron servicios y operan bajo la normatividad vigente) lo que dio por resultado que la cantidad de servicios previstos se incrementara. Efecto: La meta programada se superó ampliamente en virtud de que sumaron a la Red Nacional de Espacios Poder Joven más de 100 Espacios asociados (aquellos que no recibieron recurso federal durante el 2013, pero reportaron servicios y operan bajo la normatividad vigente) lo que dio por resultado que la cantidad de servicios previstos se incrementara. Otros Motivos:Ninguno.</t>
    </r>
  </si>
  <si>
    <r>
      <t xml:space="preserve">Porcentaje de Organizaciones apoyadas
</t>
    </r>
    <r>
      <rPr>
        <sz val="10"/>
        <rFont val="Soberana Sans"/>
        <family val="2"/>
      </rPr>
      <t xml:space="preserve"> Causa :  El Instituto Mexicano de la Juventud estableció para 2013 el indicador ¿Porcentaje de Organizaciones apoyadas¿, que mide el número de Organizaciones apoyadas a través del Programa de Apoyo a Proyectos Juveniles Impulso México. La meta programada fue otorgar apoyo a 350 grupos y organizaciones de la sociedad civil  con la finalidad de incentivar la creatividad y participación de las organizaciones juveniles; al cierre del año la meta alcanzada fue de 361 proyectos beneficiado, lo que significó un porcentaje de cumplimiento del 103%. Este comportamiento se explica por lo siguiente:     En el presente ejercicio el 80% de los participantes fue de categoría ¿A¿ (grupos y colectivos no constituidos legalmente), y al tener estos un monto de apoyo máximo de $30,000.00  permitió  que se apoyaran a más grupos y organizaciones.    Efecto: ¿ Los beneficios económicos y sociales alcanzados con este indicador de actividad, permitieron estimular la participación de la población juvenil registrando los siguientes resultados:   ¿ Se recibieron 1,290 proyectos de grupos y organizaciones de la sociedad civil de 30 estados de la república.   ¿ Los proyectos se desarrollaron dentro de cinco ejes temáticos y se ministró el recurso en la siguiente proporción: educación integral con el 22.41%; Entornos Favorables para los jóvenes 24.33; Formación ciudadana 14.28%; Participación Juvenil 12.73 y Promoción de la Salud Integral con el 26.25%.   ¿ Mismos que incidirán en el desarrollo de sus comunidades, respondan a las inquietudes y necesidades de las y los  jóvenes del país, fomentando el asociacionismo juvenil.   ¿ Algunos proyectos provienen de 59 municipios considerados en la Estrategia Cruzada Nacional contra el Hambre    Otros Motivos:</t>
    </r>
  </si>
  <si>
    <r>
      <t xml:space="preserve">Porcentaje de instancias concertadas por programas del instituto que promueven la participación juvenil.
</t>
    </r>
    <r>
      <rPr>
        <sz val="10"/>
        <rFont val="Soberana Sans"/>
        <family val="2"/>
      </rPr>
      <t xml:space="preserve"> Causa : ¿ El Instituto Mexicano de la Juventud estableció para 2013 el indicador de gestión ¿Porcentaje de Instancias concertadas con programas del Instituto que promueven la participación social¿, que mide la eficacia al generar alianzas estratégicas en la estructuración e implementación de los programas del Instituto. La meta programada fue de 100% de instancias concertadas del Instituto que promueven la participación social; al cierre del año la meta alcanzada fue de  176.0 % respecto a la meta aprobada. Este comportamiento se explica por lo siguiente:   El indicador de instancias concertadas corresponde a los acuerdos de buena voluntad de la Tarjeta Poder Joven realizados por las entidades estatales, municipales e IMJUVE, con el propósito de obtener las promociones y descuentos que se ofrecen a los jóvenes tarjetahabientes.    Además se registran las instancias que se concertan a través de los programas para el desarrollo de dichas actividades: Certamen Nacional Carta a Mis Padres; Premios Nacional de la Juventud, Concurso Nacional Juvenil de Debate Político, Fortalecimiento al Trabajo Juvenil y Emprendedores Juveniles.     La meta fue superada debido a que se recibieron reportes de las instancias participantes de Tuxpan, Jalisco,  Estado de Morelos, Francisco I. Madero, Coahuila, Tuxtla Gutiérrez, Chiapas, Ensenada, El Marques, Querétaro  Zapopan, Jalisco y Atoyac de Álvarez, Guerrero.    Efecto: Los beneficios económicos y sociales alcanzados con este indicador de actividad, permitieron establecer un acercamiento o colaboración con el propósito de promover la participación juvenil al concertar instancias públicas, privadas o civiles.          Otros Motivos:</t>
    </r>
  </si>
  <si>
    <r>
      <t xml:space="preserve">Porcentaje de jóvenes beneficiados con el programa de Espacios Poder Joven.
</t>
    </r>
    <r>
      <rPr>
        <sz val="10"/>
        <rFont val="Soberana Sans"/>
        <family val="2"/>
      </rPr>
      <t xml:space="preserve"> Causa : ¿ El Instituto Mexicano de la Juventud estableció para 2013 el indicador de gestión ¿Porcentaje de jóvenes beneficiados con el programa de Espacios Poder Joven¿. La meta programada fue de 750 mil jóvenes beneficiados con los servicios que ofrece la Red de Espacios Poder Joven ; al cierre del año la meta alcanzada fue de 1 millón 77 mil 702 jóvenes beneficiados, lo que significó un porcentaje de cumplimiento del 144.0%. Este comportamiento se explica por lo siguiente:  ¿ Se sumaron a la Red Nacional de Espacios Poder Joven más de 100 Espacios asociados.   ¿ Se fortaleció el programa mediante alianzas con la Secretaría de Comunicaciones y Transportes ( Club Digital) y la Secretaría de Trabajo y Previsión Social (PROCADIST); las cuales generaron:  ¿ La apertura de 46 Espacios Poder Joven.  ¿ El fortalecimiento de 270 Espacios Poder Joven.  ¿ La participación de municipios incluidos en la Cruzada Nacional contra el Hambre.   Efecto: ¿ Los beneficios económicos y sociales alcanzados con este indicador de actividad, permitieron beneficiar a jóvenes de distintos Estados mediante los servicios que ofrecen directamente los Espacios Poder Joven y los programas del Instituto.  Otros Motivos:</t>
    </r>
  </si>
  <si>
    <r>
      <t xml:space="preserve">Porcentaje de horas transmitidas de los programas Poder Joven radio y TV
</t>
    </r>
    <r>
      <rPr>
        <sz val="10"/>
        <rFont val="Soberana Sans"/>
        <family val="2"/>
      </rPr>
      <t xml:space="preserve"> Causa : ¿ Para 2013 el indicador de gestión ¿Porcentaje de horas transmitidas de los programas Poder Joven radio y TV¿, que mide el número de horas transmitidas de Radio y tv Poder Joven a nivel nacional. La meta programada fue de 4 mil 159 horas transmitidas; al cierre del año la meta alcanzada fue de 6 mil 530 horas transmitidas, lo que significó un porcentaje de cumplimiento del 157.0% respecto de la meta aprobada. Este comportamiento se explica por lo siguiente:  ¿ La Red de Programas de Poder Joven Radio, Televisión, Radio por Internet y Televisión por Internet incluye 28 Estados de la República.  ¿ Se realizaron 121 programas en los cuales participaron los jóvenes comunicadores.   Efecto: ¿ Los beneficios económicos y sociales alcanzados con este indicador de actividad, permitieron la participación de jóvenes comunicadores en los programas de radio TV, Radio Internet y TV internet.  ¿ Se registró la realización de 121 programas: 80 de radio, 10 de TV, 27 de Radio Internet y 4 TV internet.  ¿ Participaron 605 jóvenes.   Otros Motivos:</t>
    </r>
  </si>
  <si>
    <r>
      <t xml:space="preserve">Porcentaje de Espacios Poder Joven apoyados
</t>
    </r>
    <r>
      <rPr>
        <sz val="10"/>
        <rFont val="Soberana Sans"/>
        <family val="2"/>
      </rPr>
      <t xml:space="preserve"> Causa :  Para 2013 el indicador de gestión ¿Porcentaje de Espacios Poder Joven apoyados¿, que mide el porcentaje de Espacios Poder Joven que reciben apoyo económico anual para fortalecer su operación.  La meta programada fue de 260 EPJ apoyados, al cierre del año la meta alcanzada fue de 270 EPJ apoyados, lo que significó un porcentaje de cumplimiento del 104.0%  la meta aprobada. Este comportamiento se explica por lo siguiente:          Efecto: ¿ Los beneficios económicos y sociales alcanzados con este indicador de actividad, permitieron fortalecer la operación de los Espacios Poder Joven y coadyuvar en la articulación de los programas del Instituto con los Estados y Municipios participantes; y así:   ¿ En coordinación con los EPJ beneficiar a 1 millón 77 mil 702 jóvenes con los servicios que prestan estos espacios,    ¿ Los cuales registraron el acceso a 2 millones 158 mil 655 servicios.       Otros Motivos:</t>
    </r>
  </si>
  <si>
    <r>
      <t xml:space="preserve">Porcentaje de asociaciones participantes en la convocatoria de apoyo a proyectos juveniles.
</t>
    </r>
    <r>
      <rPr>
        <sz val="10"/>
        <rFont val="Soberana Sans"/>
        <family val="2"/>
      </rPr>
      <t xml:space="preserve"> Causa : El Instituto Mexicano de la Juventud estableció para 2013 el indicador de gestión ¿Porcentaje de asociaciones participantes en la convocatoria de apoyo a proyectos juveniles¿  que mide el número de asociaciones participantes en la convocatoria del  Programa de Apoyo a Proyectos Juveniles Impulso México. La meta programada fue 1,350 grupos y organizaciones de la sociedad civil participantes; al cierre del año la meta alcanzada fue de 1,290 lo que significó un porcentaje de cumplimiento del 95.0%. Este comportamiento se explica por lo siguiente:    La difusión de la convocatoria solo se llevó a cabo por medios electrónicos.   La re sectorización del IMJUVE retrasó la entrega de los recursos para ejercer en el primer trimestre del año y la fecha de lanzamiento de la convocatoria.    Efecto: ¿ Los beneficios económicos y sociales alcanzados con este indicador de actividad, permitieron estimular la participación de la población juvenil registrando los siguientes resultados:   ¿ Se recibieron 1,290 proyectos de grupos y organizaciones de la sociedad civil de 30 estados de la república.   ¿ Los proyectos se desarrollaron dentro de cinco ejes temáticos y se ministró el recurso en la siguiente proporción: educación integral con el 22.41%; Entornos Favorables para los jóvenes 24.33; Formación ciudadana 14.28%; Participación Juvenil 12.73 y Promoción de la Salud Integral con el 26.25%.   ¿ Mismos que incidirán en el desarrollo de sus comunidades, respondan a las inquietudes y necesidades de las y los  jóvenes del país, fomentando el asociacionismo juvenil.   ¿ Algunos proyectos provienen de 59 municipios considerados en la Estrategia Cruzada Nacional contra el Hambre    Otros Motivos:</t>
    </r>
  </si>
  <si>
    <r>
      <t xml:space="preserve">Porcentaje de tarjetas Poder Joven distribuidas
</t>
    </r>
    <r>
      <rPr>
        <sz val="10"/>
        <rFont val="Soberana Sans"/>
        <family val="2"/>
      </rPr>
      <t xml:space="preserve"> Causa :  El Instituto Mexicano de la Juventud estableció para 2013 el indicador de gestión ¿Porcentaje de tarjetas Poder Joven distribuidas¿, que mide la eficacia al acercar a los jóvenes una herramienta que les permita acceder a promociones y descuentos en rubros de alimentación, arte, cultura, deportes, diversión, salud, tecnología, transporte, turismo y vestido. La meta programada fue de distribuir entre los jóvenes 360 mil tarjetas poder joven; al cierre del año la meta alcanzada fue de 120.0 % ya que se distribuyeron 430 mil 266 tarjetas poder joven, lo que significó un porcentaje de cumplimiento del 120.0% respecto de la meta aprobada. Este comportamiento se explica por lo siguiente:     La Tarjeta Poder Joven es distribuida por las instancias estatales y municipales de juventud, quienes hacen entrega directa a los jóvenes beneficiarios y reportan a IMJUVE los registros locales de los jóvenes que se ven beneficiados con la tarjeta poder joven.   ¿ Por otra parte el Instituto proporciona la tarjeta en eventos y en las oficinas centrales.   ¿ Además la coordinación interinstitucional que se tiene con las Instancias Estatales y Municipales, facilitan la distribución de esta herramienta.    Efecto:  Los beneficios económicos y sociales alcanzados con este indicador de actividad, permitieron que más de 430 mil jóvenes de la República Mexicana accedieran a esta herramienta que acerca a los jóvenes a servicios con precios preferenciales con empresas e instituciones. Otros Motivos:</t>
    </r>
  </si>
  <si>
    <r>
      <t xml:space="preserve">Porcentaje de proyectos beneficiados
</t>
    </r>
    <r>
      <rPr>
        <sz val="10"/>
        <rFont val="Soberana Sans"/>
        <family val="2"/>
      </rPr>
      <t xml:space="preserve"> Causa :  El Instituto Mexicano de la Juventud estableció para 2013 el indicador de gestión ¿Porcentaje de proyectos beneficiados¿, que mide el porcentaje de proyectos beneficiados que reciben estímulos económicos por resultar ganadores de algún premio o certamen del Instituto. La meta programada fue de 435 proyectos beneficiado; al cierre del año la meta alcanzada fue de 442 proyectos beneficiados lo que significó un porcentaje de cumplimiento del 102%. Este comportamiento se explica por lo siguiente:        Los certámenes que nutren este indicador son: Carta a mis Padres, Premio Nacional de la Juventud, Concurso Nacional Juvenil de Debate Político y Emprendedores juveniles. Derivado de lo anterior y como resultado de cada una de las convocatorias.   ¿ Emprededores juveniles registro el apoyo a 409 proyectos sobrepasando su meta anual con 9 proyectos.    ¿ Mientras que el Premio Nacional de la Juventud entrego 18 reconocimientos de los 20 programados ya que el jurado declaró 2 distinciones vacantes en la categoría ¿A¿, en la Distinción Fortalecimiento a la Juventud Indígena e Ingenio emprendedor.    ¿ Por lo anterior la meta anual registró 7 proyectos beneficiados más de lo programado.    Efecto:  Los beneficios económicos y sociales alcanzados con este indicador de actividad, permitieron reconocer a jóvenes mexicanos que participaron en diversos certámenes, con la finalidad de impulsar su desarrollo a través de los espacios de expresión y participación que proporciona el Instituto.  Otros Motivos: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</si>
</sst>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3" x14ac:knownFonts="1">
    <font>
      <sz val="10"/>
      <name val="Soberana Sans"/>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b/>
      <sz val="11"/>
      <color indexed="8"/>
      <name val="Soberana Sans"/>
      <family val="2"/>
    </font>
    <font>
      <sz val="12"/>
      <name val="Soberana Sans"/>
      <family val="2"/>
    </font>
    <font>
      <b/>
      <sz val="28"/>
      <color indexed="8"/>
      <name val="Soberana Sans"/>
      <family val="3"/>
    </font>
    <font>
      <i/>
      <sz val="10"/>
      <color indexed="30"/>
      <name val="Soberana Sans"/>
      <family val="3"/>
    </font>
    <font>
      <sz val="11"/>
      <name val="Soberana Sans"/>
      <family val="3"/>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auto="1"/>
      </left>
      <right/>
      <top style="thin">
        <color rgb="FFD8D8D8"/>
      </top>
      <bottom style="thin">
        <color rgb="FFD8D8D8"/>
      </bottom>
      <diagonal/>
    </border>
    <border>
      <left/>
      <right/>
      <top style="thin">
        <color rgb="FFD8D8D8"/>
      </top>
      <bottom style="thin">
        <color rgb="FFD8D8D8"/>
      </bottom>
      <diagonal/>
    </border>
    <border>
      <left/>
      <right style="medium">
        <color auto="1"/>
      </right>
      <top style="thin">
        <color rgb="FFD8D8D8"/>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0">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5" borderId="10" xfId="0" applyFont="1" applyFill="1" applyBorder="1" applyAlignment="1">
      <alignment horizontal="centerContinuous" vertical="center"/>
    </xf>
    <xf numFmtId="0" fontId="23" fillId="35" borderId="11" xfId="0" applyFont="1" applyFill="1" applyBorder="1" applyAlignment="1">
      <alignment horizontal="centerContinuous" vertical="center"/>
    </xf>
    <xf numFmtId="0" fontId="23" fillId="35" borderId="11" xfId="0" applyFont="1" applyFill="1" applyBorder="1" applyAlignment="1">
      <alignment horizontal="centerContinuous" vertical="center" wrapText="1"/>
    </xf>
    <xf numFmtId="0" fontId="23" fillId="35" borderId="12" xfId="0" applyFont="1" applyFill="1" applyBorder="1" applyAlignment="1">
      <alignment horizontal="centerContinuous" vertical="center" wrapText="1"/>
    </xf>
    <xf numFmtId="0" fontId="18" fillId="0" borderId="16" xfId="0" applyFont="1" applyBorder="1" applyAlignment="1">
      <alignment horizontal="justify" vertical="top" wrapText="1"/>
    </xf>
    <xf numFmtId="0" fontId="18" fillId="0" borderId="17" xfId="0" applyFont="1" applyBorder="1" applyAlignment="1">
      <alignment horizontal="right" vertical="top" wrapText="1"/>
    </xf>
    <xf numFmtId="0" fontId="0" fillId="0" borderId="17" xfId="0" applyBorder="1" applyAlignment="1">
      <alignment vertical="top" wrapText="1"/>
    </xf>
    <xf numFmtId="0" fontId="18" fillId="0" borderId="17" xfId="0" applyFont="1" applyBorder="1" applyAlignment="1">
      <alignment vertical="top" wrapText="1"/>
    </xf>
    <xf numFmtId="0" fontId="19" fillId="0" borderId="17" xfId="0" applyFont="1" applyBorder="1" applyAlignment="1">
      <alignment vertical="top" wrapText="1"/>
    </xf>
    <xf numFmtId="0" fontId="18" fillId="36" borderId="27"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38" xfId="0" applyFont="1" applyFill="1" applyBorder="1" applyAlignment="1">
      <alignment horizontal="center" vertical="center" wrapText="1"/>
    </xf>
    <xf numFmtId="0" fontId="19" fillId="0" borderId="0" xfId="0" applyFont="1" applyAlignment="1">
      <alignment vertical="top" wrapText="1"/>
    </xf>
    <xf numFmtId="0" fontId="18" fillId="0" borderId="39" xfId="0" applyFont="1" applyFill="1" applyBorder="1" applyAlignment="1">
      <alignment vertical="top" wrapText="1"/>
    </xf>
    <xf numFmtId="4" fontId="19" fillId="0" borderId="40" xfId="0" applyNumberFormat="1" applyFont="1" applyBorder="1" applyAlignment="1">
      <alignment horizontal="right" vertical="top" wrapText="1"/>
    </xf>
    <xf numFmtId="164" fontId="0" fillId="0" borderId="41" xfId="0" applyNumberFormat="1" applyBorder="1" applyAlignment="1">
      <alignment horizontal="right" vertical="top" wrapText="1"/>
    </xf>
    <xf numFmtId="0" fontId="18" fillId="0" borderId="42" xfId="0" applyFont="1" applyFill="1" applyBorder="1" applyAlignment="1">
      <alignment vertical="top" wrapText="1"/>
    </xf>
    <xf numFmtId="4" fontId="19" fillId="0" borderId="43" xfId="0" applyNumberFormat="1" applyFont="1" applyBorder="1" applyAlignment="1">
      <alignment horizontal="right" vertical="top" wrapText="1"/>
    </xf>
    <xf numFmtId="4" fontId="0" fillId="0" borderId="44" xfId="0" applyNumberFormat="1" applyBorder="1" applyAlignment="1">
      <alignment horizontal="right" vertical="top" wrapText="1"/>
    </xf>
    <xf numFmtId="3" fontId="0" fillId="0" borderId="0" xfId="0" applyNumberFormat="1" applyAlignment="1">
      <alignment vertical="top" wrapText="1"/>
    </xf>
    <xf numFmtId="0" fontId="25" fillId="36" borderId="45" xfId="0" applyFont="1" applyFill="1" applyBorder="1" applyAlignment="1">
      <alignment horizontal="centerContinuous" vertical="center"/>
    </xf>
    <xf numFmtId="0" fontId="26" fillId="36" borderId="14" xfId="0" applyFont="1" applyFill="1" applyBorder="1" applyAlignment="1">
      <alignment horizontal="centerContinuous" vertical="center"/>
    </xf>
    <xf numFmtId="0" fontId="26" fillId="36" borderId="14" xfId="0" applyFont="1" applyFill="1" applyBorder="1" applyAlignment="1">
      <alignment horizontal="centerContinuous" vertical="center" wrapText="1"/>
    </xf>
    <xf numFmtId="0" fontId="18" fillId="36" borderId="46" xfId="0" applyFont="1" applyFill="1" applyBorder="1" applyAlignment="1">
      <alignment vertical="center" wrapText="1"/>
    </xf>
    <xf numFmtId="0" fontId="18" fillId="36" borderId="28" xfId="0" applyFont="1" applyFill="1" applyBorder="1" applyAlignment="1">
      <alignment horizontal="center" vertical="center" wrapText="1"/>
    </xf>
    <xf numFmtId="0" fontId="25" fillId="36" borderId="47" xfId="0" applyFont="1" applyFill="1" applyBorder="1" applyAlignment="1">
      <alignment horizontal="centerContinuous" vertical="center"/>
    </xf>
    <xf numFmtId="0" fontId="26" fillId="36" borderId="48" xfId="0" applyFont="1" applyFill="1" applyBorder="1" applyAlignment="1">
      <alignment horizontal="centerContinuous" vertical="center"/>
    </xf>
    <xf numFmtId="0" fontId="26" fillId="36" borderId="48" xfId="0" applyFont="1" applyFill="1" applyBorder="1" applyAlignment="1">
      <alignment horizontal="centerContinuous" vertical="center" wrapText="1"/>
    </xf>
    <xf numFmtId="0" fontId="18" fillId="36" borderId="49" xfId="0" applyFont="1" applyFill="1" applyBorder="1" applyAlignment="1">
      <alignment horizontal="center" vertical="center" wrapText="1"/>
    </xf>
    <xf numFmtId="0" fontId="18" fillId="36" borderId="50" xfId="0" applyFont="1" applyFill="1" applyBorder="1" applyAlignment="1">
      <alignment horizontal="center" vertical="center" wrapText="1"/>
    </xf>
    <xf numFmtId="0" fontId="18" fillId="0" borderId="52" xfId="0" applyFont="1" applyBorder="1" applyAlignment="1">
      <alignment horizontal="justify" vertical="top" wrapText="1"/>
    </xf>
    <xf numFmtId="0" fontId="0" fillId="0" borderId="52" xfId="0" applyBorder="1" applyAlignment="1">
      <alignment vertical="top" wrapText="1"/>
    </xf>
    <xf numFmtId="4" fontId="0" fillId="0" borderId="52" xfId="0" applyNumberFormat="1" applyBorder="1" applyAlignment="1">
      <alignment vertical="top" wrapText="1"/>
    </xf>
    <xf numFmtId="0" fontId="18" fillId="0" borderId="55" xfId="0" applyFont="1" applyBorder="1" applyAlignment="1">
      <alignment horizontal="justify" vertical="top" wrapText="1"/>
    </xf>
    <xf numFmtId="0" fontId="0" fillId="0" borderId="55" xfId="0" applyBorder="1" applyAlignment="1">
      <alignment vertical="top" wrapText="1"/>
    </xf>
    <xf numFmtId="4" fontId="0" fillId="0" borderId="55" xfId="0" applyNumberFormat="1" applyBorder="1" applyAlignment="1">
      <alignment vertical="top" wrapText="1"/>
    </xf>
    <xf numFmtId="3" fontId="19" fillId="0" borderId="43" xfId="0" applyNumberFormat="1" applyFont="1" applyBorder="1" applyAlignment="1">
      <alignment horizontal="right" vertical="top" wrapText="1"/>
    </xf>
    <xf numFmtId="3" fontId="19" fillId="0" borderId="40" xfId="0" applyNumberFormat="1" applyFont="1" applyBorder="1" applyAlignment="1">
      <alignment horizontal="right" vertical="top" wrapText="1"/>
    </xf>
    <xf numFmtId="0" fontId="18" fillId="0" borderId="13" xfId="0" applyFont="1" applyBorder="1" applyAlignment="1">
      <alignment horizontal="left" vertical="top" wrapText="1"/>
    </xf>
    <xf numFmtId="0" fontId="24" fillId="0" borderId="0" xfId="0" applyFont="1" applyBorder="1" applyAlignment="1">
      <alignment horizontal="left" vertical="top" wrapText="1"/>
    </xf>
    <xf numFmtId="0" fontId="0" fillId="0" borderId="0" xfId="0" applyBorder="1" applyAlignment="1">
      <alignment horizontal="left" vertical="top" wrapText="1"/>
    </xf>
    <xf numFmtId="0" fontId="18" fillId="0" borderId="0" xfId="0" applyFont="1" applyBorder="1" applyAlignment="1">
      <alignment horizontal="left" vertical="top" wrapText="1"/>
    </xf>
    <xf numFmtId="0" fontId="19" fillId="0" borderId="0" xfId="0" applyFont="1" applyBorder="1" applyAlignment="1">
      <alignment horizontal="left" vertical="top"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0" fillId="0" borderId="17" xfId="0" applyBorder="1" applyAlignment="1">
      <alignment horizontal="left" vertical="top" wrapText="1"/>
    </xf>
    <xf numFmtId="0" fontId="19" fillId="0" borderId="17" xfId="0" applyFont="1" applyBorder="1" applyAlignment="1">
      <alignment horizontal="left" vertical="top" wrapText="1"/>
    </xf>
    <xf numFmtId="4" fontId="0" fillId="0" borderId="41" xfId="0" applyNumberFormat="1" applyBorder="1" applyAlignment="1">
      <alignment horizontal="right" vertical="top" wrapText="1"/>
    </xf>
    <xf numFmtId="0" fontId="32" fillId="0" borderId="0" xfId="0" applyFont="1" applyBorder="1" applyAlignment="1">
      <alignment horizontal="left" vertical="top" wrapText="1"/>
    </xf>
    <xf numFmtId="4" fontId="0" fillId="0" borderId="52" xfId="0" applyNumberFormat="1" applyFill="1" applyBorder="1" applyAlignment="1">
      <alignment horizontal="right" vertical="top" wrapText="1"/>
    </xf>
    <xf numFmtId="4" fontId="19" fillId="0" borderId="53" xfId="0" applyNumberFormat="1" applyFont="1" applyFill="1" applyBorder="1" applyAlignment="1">
      <alignment horizontal="right" vertical="top" wrapText="1"/>
    </xf>
    <xf numFmtId="0" fontId="27" fillId="33" borderId="0" xfId="0" applyFont="1" applyFill="1" applyAlignment="1">
      <alignment horizontal="center" vertical="center" wrapText="1"/>
    </xf>
    <xf numFmtId="0" fontId="30" fillId="34" borderId="0" xfId="0" applyFont="1" applyFill="1" applyAlignment="1">
      <alignment horizontal="center" vertical="center" wrapText="1"/>
    </xf>
    <xf numFmtId="0" fontId="20" fillId="0" borderId="0" xfId="0" applyFont="1" applyAlignment="1">
      <alignment horizontal="center" vertical="center" wrapText="1"/>
    </xf>
    <xf numFmtId="0" fontId="29" fillId="0" borderId="0" xfId="0" applyFont="1" applyAlignment="1">
      <alignment horizontal="justify" vertical="top" wrapText="1"/>
    </xf>
    <xf numFmtId="0" fontId="18" fillId="0" borderId="42" xfId="0" applyFont="1" applyFill="1" applyBorder="1" applyAlignment="1">
      <alignment horizontal="justify" vertical="top" wrapText="1"/>
    </xf>
    <xf numFmtId="0" fontId="18" fillId="0" borderId="43" xfId="0" applyFont="1" applyFill="1" applyBorder="1" applyAlignment="1">
      <alignment horizontal="justify" vertical="top" wrapText="1"/>
    </xf>
    <xf numFmtId="0" fontId="18" fillId="0" borderId="44" xfId="0" applyFont="1" applyFill="1" applyBorder="1" applyAlignment="1">
      <alignment horizontal="justify" vertical="top" wrapText="1"/>
    </xf>
    <xf numFmtId="0" fontId="18" fillId="0" borderId="58" xfId="0" applyFont="1" applyFill="1" applyBorder="1" applyAlignment="1">
      <alignment horizontal="justify" vertical="top" wrapText="1"/>
    </xf>
    <xf numFmtId="0" fontId="18" fillId="0" borderId="60" xfId="0" applyFont="1" applyFill="1" applyBorder="1" applyAlignment="1">
      <alignment horizontal="justify" vertical="top" wrapText="1"/>
    </xf>
    <xf numFmtId="0" fontId="18" fillId="0" borderId="59" xfId="0" applyFont="1" applyFill="1" applyBorder="1" applyAlignment="1">
      <alignment horizontal="justify" vertical="top" wrapText="1"/>
    </xf>
    <xf numFmtId="0" fontId="0" fillId="0" borderId="43" xfId="0" applyFill="1" applyBorder="1" applyAlignment="1">
      <alignment horizontal="justify" vertical="top" wrapText="1"/>
    </xf>
    <xf numFmtId="0" fontId="0" fillId="0" borderId="43" xfId="0" applyFill="1" applyBorder="1" applyAlignment="1">
      <alignment horizontal="left" vertical="top" wrapText="1"/>
    </xf>
    <xf numFmtId="0" fontId="18" fillId="0" borderId="51" xfId="0" applyFont="1" applyBorder="1" applyAlignment="1">
      <alignment horizontal="justify" vertical="top" wrapText="1"/>
    </xf>
    <xf numFmtId="0" fontId="18" fillId="0" borderId="52" xfId="0" applyFont="1" applyBorder="1" applyAlignment="1">
      <alignment horizontal="justify" vertical="top" wrapText="1"/>
    </xf>
    <xf numFmtId="0" fontId="18" fillId="0" borderId="54" xfId="0" applyFont="1" applyBorder="1" applyAlignment="1">
      <alignment horizontal="justify" vertical="top" wrapText="1"/>
    </xf>
    <xf numFmtId="0" fontId="18" fillId="0" borderId="55" xfId="0" applyFont="1" applyBorder="1" applyAlignment="1">
      <alignment horizontal="justify" vertical="top" wrapText="1"/>
    </xf>
    <xf numFmtId="0" fontId="18" fillId="0" borderId="56" xfId="0" applyFont="1" applyFill="1" applyBorder="1" applyAlignment="1">
      <alignment horizontal="justify" vertical="top" wrapText="1"/>
    </xf>
    <xf numFmtId="0" fontId="18" fillId="0" borderId="40" xfId="0" applyFont="1" applyFill="1" applyBorder="1" applyAlignment="1">
      <alignment horizontal="justify" vertical="top" wrapText="1"/>
    </xf>
    <xf numFmtId="0" fontId="18" fillId="0" borderId="57" xfId="0" applyFont="1" applyFill="1" applyBorder="1" applyAlignment="1">
      <alignment horizontal="justify" vertical="top" wrapText="1"/>
    </xf>
    <xf numFmtId="0" fontId="0" fillId="0" borderId="40" xfId="0" applyFill="1" applyBorder="1" applyAlignment="1">
      <alignment horizontal="justify" vertical="top" wrapText="1"/>
    </xf>
    <xf numFmtId="0" fontId="0" fillId="0" borderId="40" xfId="0" applyFill="1" applyBorder="1" applyAlignment="1">
      <alignment horizontal="left" vertical="top" wrapText="1"/>
    </xf>
    <xf numFmtId="0" fontId="19" fillId="0" borderId="17" xfId="0" applyFont="1" applyBorder="1" applyAlignment="1">
      <alignment horizontal="left" vertical="top" wrapText="1"/>
    </xf>
    <xf numFmtId="0" fontId="19" fillId="0" borderId="18" xfId="0" applyFont="1" applyBorder="1" applyAlignment="1">
      <alignment horizontal="left" vertical="top" wrapText="1"/>
    </xf>
    <xf numFmtId="0" fontId="18" fillId="36" borderId="19" xfId="0" applyFont="1" applyFill="1" applyBorder="1" applyAlignment="1">
      <alignment horizontal="center" vertical="center" wrapText="1"/>
    </xf>
    <xf numFmtId="0" fontId="18" fillId="36" borderId="21" xfId="0" applyFont="1" applyFill="1" applyBorder="1" applyAlignment="1">
      <alignment horizontal="center" vertical="center" wrapText="1"/>
    </xf>
    <xf numFmtId="0" fontId="18" fillId="36" borderId="20" xfId="0" applyFont="1" applyFill="1" applyBorder="1" applyAlignment="1">
      <alignment horizontal="center" vertical="center" wrapText="1"/>
    </xf>
    <xf numFmtId="0" fontId="18" fillId="36" borderId="22" xfId="0" applyFont="1" applyFill="1" applyBorder="1" applyAlignment="1">
      <alignment horizontal="center" vertical="center" wrapText="1"/>
    </xf>
    <xf numFmtId="0" fontId="18" fillId="36" borderId="23" xfId="0" applyFont="1" applyFill="1" applyBorder="1" applyAlignment="1">
      <alignment horizontal="center" vertical="center" wrapText="1"/>
    </xf>
    <xf numFmtId="0" fontId="18" fillId="36" borderId="0" xfId="0" applyFont="1" applyFill="1" applyBorder="1" applyAlignment="1">
      <alignment horizontal="center" vertical="center" wrapText="1"/>
    </xf>
    <xf numFmtId="0" fontId="18" fillId="36" borderId="26" xfId="0" applyFont="1" applyFill="1" applyBorder="1" applyAlignment="1">
      <alignment horizontal="center" vertical="center" wrapText="1"/>
    </xf>
    <xf numFmtId="0" fontId="18" fillId="36" borderId="24" xfId="0" applyFont="1" applyFill="1" applyBorder="1" applyAlignment="1">
      <alignment horizontal="center" vertical="center" wrapText="1"/>
    </xf>
    <xf numFmtId="0" fontId="18" fillId="36" borderId="25" xfId="0" applyFont="1" applyFill="1" applyBorder="1" applyAlignment="1">
      <alignment horizontal="center" vertical="center" wrapText="1"/>
    </xf>
    <xf numFmtId="0" fontId="18" fillId="36" borderId="28"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0" xfId="0" applyFont="1" applyFill="1" applyBorder="1" applyAlignment="1">
      <alignment horizontal="center" vertical="top" wrapText="1"/>
    </xf>
    <xf numFmtId="0" fontId="18" fillId="36" borderId="26" xfId="0" applyFont="1" applyFill="1" applyBorder="1" applyAlignment="1">
      <alignment horizontal="center" vertical="top" wrapText="1"/>
    </xf>
    <xf numFmtId="0" fontId="18" fillId="36" borderId="36" xfId="0" applyFont="1" applyFill="1" applyBorder="1" applyAlignment="1">
      <alignment horizontal="center" vertical="center" wrapText="1"/>
    </xf>
    <xf numFmtId="0" fontId="18" fillId="36" borderId="37" xfId="0" applyFont="1" applyFill="1" applyBorder="1" applyAlignment="1">
      <alignment horizontal="center" vertical="center" wrapText="1"/>
    </xf>
    <xf numFmtId="0" fontId="20" fillId="0" borderId="13" xfId="0" applyFont="1" applyBorder="1" applyAlignment="1">
      <alignment horizontal="center" vertical="top"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28" fillId="0" borderId="0" xfId="0" applyFont="1" applyBorder="1" applyAlignment="1">
      <alignment horizontal="left" vertical="top" wrapText="1"/>
    </xf>
    <xf numFmtId="0" fontId="19" fillId="0" borderId="0" xfId="0" applyFont="1" applyBorder="1" applyAlignment="1">
      <alignment horizontal="left" vertical="top" wrapText="1"/>
    </xf>
    <xf numFmtId="0" fontId="19" fillId="0" borderId="15" xfId="0" applyFont="1" applyBorder="1" applyAlignment="1">
      <alignment horizontal="left" vertical="top" wrapText="1"/>
    </xf>
    <xf numFmtId="0" fontId="19" fillId="0" borderId="17" xfId="0" applyFont="1" applyBorder="1" applyAlignment="1">
      <alignment horizontal="justify" vertical="top" wrapText="1"/>
    </xf>
    <xf numFmtId="0" fontId="19" fillId="0" borderId="18" xfId="0" applyFont="1" applyBorder="1" applyAlignment="1">
      <alignment horizontal="justify" vertical="top" wrapText="1"/>
    </xf>
    <xf numFmtId="0" fontId="20" fillId="0" borderId="13" xfId="0" applyFont="1" applyBorder="1" applyAlignment="1">
      <alignment horizontal="left" vertical="top" wrapText="1"/>
    </xf>
    <xf numFmtId="0" fontId="20" fillId="0" borderId="0" xfId="0" applyFont="1" applyBorder="1" applyAlignment="1">
      <alignment horizontal="left" vertical="top" wrapText="1"/>
    </xf>
    <xf numFmtId="0" fontId="20" fillId="0" borderId="15" xfId="0" applyFont="1" applyBorder="1" applyAlignment="1">
      <alignment horizontal="left" vertical="top"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tabSelected="1" view="pageBreakPreview" topLeftCell="A31" zoomScale="80" zoomScaleNormal="80" zoomScaleSheetLayoutView="80" workbookViewId="0">
      <selection activeCell="B11" sqref="B11:AD34"/>
    </sheetView>
  </sheetViews>
  <sheetFormatPr baseColWidth="10" defaultColWidth="5" defaultRowHeight="12.75" x14ac:dyDescent="0.2"/>
  <cols>
    <col min="1" max="1" width="3.5" style="1" customWidth="1"/>
    <col min="2" max="16384" width="5" style="1"/>
  </cols>
  <sheetData>
    <row r="1" spans="2:30" s="2" customFormat="1" ht="48" customHeight="1" x14ac:dyDescent="0.2">
      <c r="B1" s="55" t="s">
        <v>0</v>
      </c>
      <c r="C1" s="55"/>
      <c r="D1" s="55"/>
      <c r="E1" s="55"/>
      <c r="F1" s="55"/>
      <c r="G1" s="55"/>
      <c r="H1" s="55"/>
      <c r="I1" s="55"/>
      <c r="J1" s="55"/>
      <c r="K1" s="55"/>
      <c r="L1" s="55"/>
      <c r="M1" s="55"/>
      <c r="N1" s="55"/>
      <c r="O1" s="55"/>
      <c r="P1" s="55"/>
      <c r="Q1" s="3" t="s">
        <v>1</v>
      </c>
    </row>
    <row r="2" spans="2:30" ht="13.5" customHeight="1" x14ac:dyDescent="0.2"/>
    <row r="3" spans="2:30" ht="13.5" customHeight="1" x14ac:dyDescent="0.2"/>
    <row r="4" spans="2:30" ht="13.5" customHeight="1" x14ac:dyDescent="0.2"/>
    <row r="5" spans="2:30" ht="13.5" customHeight="1" x14ac:dyDescent="0.2"/>
    <row r="6" spans="2:30" ht="13.5" customHeight="1" x14ac:dyDescent="0.2"/>
    <row r="7" spans="2:30" ht="13.5" customHeight="1" x14ac:dyDescent="0.2"/>
    <row r="8" spans="2:30" ht="13.5" customHeight="1" x14ac:dyDescent="0.2"/>
    <row r="9" spans="2:30" ht="13.5" customHeight="1" x14ac:dyDescent="0.2"/>
    <row r="10" spans="2:30" ht="13.5" customHeight="1" x14ac:dyDescent="0.2"/>
    <row r="11" spans="2:30" ht="13.5" customHeight="1" x14ac:dyDescent="0.2">
      <c r="B11" s="56" t="s">
        <v>2</v>
      </c>
      <c r="C11" s="56"/>
      <c r="D11" s="56"/>
      <c r="E11" s="56"/>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row>
    <row r="12" spans="2:30" ht="13.5" customHeight="1" x14ac:dyDescent="0.2">
      <c r="B12" s="56"/>
      <c r="C12" s="56"/>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row>
    <row r="13" spans="2:30" ht="13.5" customHeight="1" x14ac:dyDescent="0.2">
      <c r="B13" s="56"/>
      <c r="C13" s="56"/>
      <c r="D13" s="56"/>
      <c r="E13" s="56"/>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row>
    <row r="14" spans="2:30" ht="13.5" customHeight="1" x14ac:dyDescent="0.2">
      <c r="B14" s="56"/>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row>
    <row r="15" spans="2:30" ht="13.5" customHeight="1" x14ac:dyDescent="0.2">
      <c r="B15" s="56"/>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row>
    <row r="16" spans="2:30" ht="13.5" customHeight="1" x14ac:dyDescent="0.2">
      <c r="B16" s="56"/>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row>
    <row r="17" spans="2:30" ht="13.5" customHeight="1" x14ac:dyDescent="0.2">
      <c r="B17" s="56"/>
      <c r="C17" s="56"/>
      <c r="D17" s="56"/>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row>
    <row r="18" spans="2:30" ht="13.5" customHeight="1" x14ac:dyDescent="0.2">
      <c r="B18" s="56"/>
      <c r="C18" s="56"/>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row>
    <row r="19" spans="2:30" ht="13.5" customHeight="1" x14ac:dyDescent="0.2">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row>
    <row r="20" spans="2:30" ht="13.5" customHeight="1" x14ac:dyDescent="0.2">
      <c r="B20" s="56"/>
      <c r="C20" s="56"/>
      <c r="D20" s="56"/>
      <c r="E20" s="56"/>
      <c r="F20" s="56"/>
      <c r="G20" s="56"/>
      <c r="H20" s="56"/>
      <c r="I20" s="56"/>
      <c r="J20" s="56"/>
      <c r="K20" s="56"/>
      <c r="L20" s="56"/>
      <c r="M20" s="56"/>
      <c r="N20" s="56"/>
      <c r="O20" s="56"/>
      <c r="P20" s="56"/>
      <c r="Q20" s="56"/>
      <c r="R20" s="56"/>
      <c r="S20" s="56"/>
      <c r="T20" s="56"/>
      <c r="U20" s="56"/>
      <c r="V20" s="56"/>
      <c r="W20" s="56"/>
      <c r="X20" s="56"/>
      <c r="Y20" s="56"/>
      <c r="Z20" s="56"/>
      <c r="AA20" s="56"/>
      <c r="AB20" s="56"/>
      <c r="AC20" s="56"/>
      <c r="AD20" s="56"/>
    </row>
    <row r="21" spans="2:30" ht="13.5" customHeight="1" x14ac:dyDescent="0.2">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row>
    <row r="22" spans="2:30" ht="13.5" customHeight="1" x14ac:dyDescent="0.2">
      <c r="B22" s="56"/>
      <c r="C22" s="56"/>
      <c r="D22" s="56"/>
      <c r="E22" s="56"/>
      <c r="F22" s="56"/>
      <c r="G22" s="56"/>
      <c r="H22" s="56"/>
      <c r="I22" s="56"/>
      <c r="J22" s="56"/>
      <c r="K22" s="56"/>
      <c r="L22" s="56"/>
      <c r="M22" s="56"/>
      <c r="N22" s="56"/>
      <c r="O22" s="56"/>
      <c r="P22" s="56"/>
      <c r="Q22" s="56"/>
      <c r="R22" s="56"/>
      <c r="S22" s="56"/>
      <c r="T22" s="56"/>
      <c r="U22" s="56"/>
      <c r="V22" s="56"/>
      <c r="W22" s="56"/>
      <c r="X22" s="56"/>
      <c r="Y22" s="56"/>
      <c r="Z22" s="56"/>
      <c r="AA22" s="56"/>
      <c r="AB22" s="56"/>
      <c r="AC22" s="56"/>
      <c r="AD22" s="56"/>
    </row>
    <row r="23" spans="2:30" ht="13.5" customHeight="1" x14ac:dyDescent="0.2">
      <c r="B23" s="56"/>
      <c r="C23" s="56"/>
      <c r="D23" s="56"/>
      <c r="E23" s="56"/>
      <c r="F23" s="56"/>
      <c r="G23" s="56"/>
      <c r="H23" s="56"/>
      <c r="I23" s="56"/>
      <c r="J23" s="56"/>
      <c r="K23" s="56"/>
      <c r="L23" s="56"/>
      <c r="M23" s="56"/>
      <c r="N23" s="56"/>
      <c r="O23" s="56"/>
      <c r="P23" s="56"/>
      <c r="Q23" s="56"/>
      <c r="R23" s="56"/>
      <c r="S23" s="56"/>
      <c r="T23" s="56"/>
      <c r="U23" s="56"/>
      <c r="V23" s="56"/>
      <c r="W23" s="56"/>
      <c r="X23" s="56"/>
      <c r="Y23" s="56"/>
      <c r="Z23" s="56"/>
      <c r="AA23" s="56"/>
      <c r="AB23" s="56"/>
      <c r="AC23" s="56"/>
      <c r="AD23" s="56"/>
    </row>
    <row r="24" spans="2:30" ht="13.5" customHeight="1" x14ac:dyDescent="0.2">
      <c r="B24" s="56"/>
      <c r="C24" s="56"/>
      <c r="D24" s="56"/>
      <c r="E24" s="5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row>
    <row r="25" spans="2:30" ht="13.5" customHeight="1" x14ac:dyDescent="0.2">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row>
    <row r="26" spans="2:30" ht="13.5" customHeight="1" x14ac:dyDescent="0.2">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row>
    <row r="27" spans="2:30" ht="13.5" customHeight="1" x14ac:dyDescent="0.2">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row>
    <row r="28" spans="2:30" ht="13.5" customHeight="1" x14ac:dyDescent="0.2">
      <c r="B28" s="56"/>
      <c r="C28" s="56"/>
      <c r="D28" s="56"/>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row>
    <row r="29" spans="2:30" ht="13.5" customHeight="1" x14ac:dyDescent="0.2">
      <c r="B29" s="56"/>
      <c r="C29" s="56"/>
      <c r="D29" s="56"/>
      <c r="E29" s="56"/>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row>
    <row r="30" spans="2:30" ht="13.5" customHeight="1" x14ac:dyDescent="0.2">
      <c r="B30" s="56"/>
      <c r="C30" s="56"/>
      <c r="D30" s="56"/>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row>
    <row r="31" spans="2:30" ht="13.5" customHeight="1" x14ac:dyDescent="0.2">
      <c r="B31" s="56"/>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row>
    <row r="32" spans="2:30" ht="13.5" customHeight="1" x14ac:dyDescent="0.2">
      <c r="B32" s="56"/>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row>
    <row r="33" spans="2:30" ht="13.5" customHeight="1" x14ac:dyDescent="0.2">
      <c r="B33" s="56"/>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row>
    <row r="34" spans="2:30" ht="13.5" customHeight="1" x14ac:dyDescent="0.2">
      <c r="B34" s="56"/>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row>
    <row r="35" spans="2:30" ht="13.5" customHeight="1" x14ac:dyDescent="0.2"/>
    <row r="36" spans="2:30" ht="13.5" customHeight="1" x14ac:dyDescent="0.2"/>
    <row r="37" spans="2:30" ht="13.5" customHeight="1" x14ac:dyDescent="0.2"/>
    <row r="38" spans="2:30" ht="13.5" customHeight="1" x14ac:dyDescent="0.2"/>
    <row r="39" spans="2:30" ht="13.5" customHeight="1" x14ac:dyDescent="0.2"/>
    <row r="40" spans="2:30" ht="13.5" customHeight="1" x14ac:dyDescent="0.2"/>
    <row r="41" spans="2:30" ht="13.5" customHeight="1" x14ac:dyDescent="0.2"/>
    <row r="42" spans="2:30" ht="13.5" customHeight="1" x14ac:dyDescent="0.2"/>
    <row r="43" spans="2:30" ht="13.5" customHeight="1" x14ac:dyDescent="0.2"/>
    <row r="44" spans="2:30" ht="13.5" customHeight="1" x14ac:dyDescent="0.2"/>
    <row r="45" spans="2:30" ht="13.5" customHeight="1" x14ac:dyDescent="0.2"/>
    <row r="46" spans="2:30" ht="13.5" customHeight="1" x14ac:dyDescent="0.2"/>
    <row r="47" spans="2:30" ht="13.5" customHeight="1" x14ac:dyDescent="0.2"/>
    <row r="48" spans="2:30" ht="13.5" customHeight="1" x14ac:dyDescent="0.2"/>
    <row r="49" spans="4:28" ht="20.25" customHeight="1" x14ac:dyDescent="0.2">
      <c r="D49" s="57" t="s">
        <v>3</v>
      </c>
      <c r="E49" s="57"/>
      <c r="F49" s="57"/>
      <c r="G49" s="57"/>
      <c r="H49" s="57"/>
      <c r="I49" s="57"/>
      <c r="J49" s="57"/>
      <c r="K49" s="57"/>
      <c r="L49" s="57"/>
      <c r="M49" s="57"/>
      <c r="N49" s="57"/>
      <c r="O49" s="57"/>
      <c r="P49" s="57"/>
      <c r="Q49" s="57"/>
      <c r="R49" s="57"/>
      <c r="S49" s="57"/>
      <c r="T49" s="57"/>
      <c r="U49" s="57"/>
      <c r="V49" s="57"/>
      <c r="W49" s="57"/>
      <c r="X49" s="57"/>
      <c r="Y49" s="57"/>
      <c r="Z49" s="57"/>
      <c r="AA49" s="57"/>
      <c r="AB49" s="57"/>
    </row>
    <row r="50" spans="4:28" ht="13.5" customHeight="1" x14ac:dyDescent="0.2">
      <c r="D50" s="58" t="s">
        <v>4</v>
      </c>
      <c r="E50" s="58"/>
      <c r="F50" s="58"/>
      <c r="G50" s="58"/>
      <c r="H50" s="58"/>
      <c r="I50" s="58"/>
      <c r="J50" s="58"/>
      <c r="K50" s="58"/>
      <c r="L50" s="58"/>
      <c r="M50" s="58"/>
      <c r="N50" s="58"/>
      <c r="O50" s="58"/>
      <c r="P50" s="58"/>
      <c r="Q50" s="58"/>
      <c r="R50" s="58"/>
      <c r="S50" s="58"/>
      <c r="T50" s="58"/>
      <c r="U50" s="58"/>
      <c r="V50" s="58"/>
      <c r="W50" s="58"/>
      <c r="X50" s="58"/>
      <c r="Y50" s="58"/>
      <c r="Z50" s="58"/>
      <c r="AA50" s="58"/>
      <c r="AB50" s="58"/>
    </row>
    <row r="51" spans="4:28" ht="13.5" customHeight="1" x14ac:dyDescent="0.2">
      <c r="D51" s="58"/>
      <c r="E51" s="58"/>
      <c r="F51" s="58"/>
      <c r="G51" s="58"/>
      <c r="H51" s="58"/>
      <c r="I51" s="58"/>
      <c r="J51" s="58"/>
      <c r="K51" s="58"/>
      <c r="L51" s="58"/>
      <c r="M51" s="58"/>
      <c r="N51" s="58"/>
      <c r="O51" s="58"/>
      <c r="P51" s="58"/>
      <c r="Q51" s="58"/>
      <c r="R51" s="58"/>
      <c r="S51" s="58"/>
      <c r="T51" s="58"/>
      <c r="U51" s="58"/>
      <c r="V51" s="58"/>
      <c r="W51" s="58"/>
      <c r="X51" s="58"/>
      <c r="Y51" s="58"/>
      <c r="Z51" s="58"/>
      <c r="AA51" s="58"/>
      <c r="AB51" s="58"/>
    </row>
    <row r="52" spans="4:28" ht="13.5" customHeight="1" x14ac:dyDescent="0.2">
      <c r="D52" s="58"/>
      <c r="E52" s="58"/>
      <c r="F52" s="58"/>
      <c r="G52" s="58"/>
      <c r="H52" s="58"/>
      <c r="I52" s="58"/>
      <c r="J52" s="58"/>
      <c r="K52" s="58"/>
      <c r="L52" s="58"/>
      <c r="M52" s="58"/>
      <c r="N52" s="58"/>
      <c r="O52" s="58"/>
      <c r="P52" s="58"/>
      <c r="Q52" s="58"/>
      <c r="R52" s="58"/>
      <c r="S52" s="58"/>
      <c r="T52" s="58"/>
      <c r="U52" s="58"/>
      <c r="V52" s="58"/>
      <c r="W52" s="58"/>
      <c r="X52" s="58"/>
      <c r="Y52" s="58"/>
      <c r="Z52" s="58"/>
      <c r="AA52" s="58"/>
      <c r="AB52" s="58"/>
    </row>
    <row r="53" spans="4:28" ht="13.5" customHeight="1" x14ac:dyDescent="0.2">
      <c r="D53" s="58"/>
      <c r="E53" s="58"/>
      <c r="F53" s="58"/>
      <c r="G53" s="58"/>
      <c r="H53" s="58"/>
      <c r="I53" s="58"/>
      <c r="J53" s="58"/>
      <c r="K53" s="58"/>
      <c r="L53" s="58"/>
      <c r="M53" s="58"/>
      <c r="N53" s="58"/>
      <c r="O53" s="58"/>
      <c r="P53" s="58"/>
      <c r="Q53" s="58"/>
      <c r="R53" s="58"/>
      <c r="S53" s="58"/>
      <c r="T53" s="58"/>
      <c r="U53" s="58"/>
      <c r="V53" s="58"/>
      <c r="W53" s="58"/>
      <c r="X53" s="58"/>
      <c r="Y53" s="58"/>
      <c r="Z53" s="58"/>
      <c r="AA53" s="58"/>
      <c r="AB53" s="58"/>
    </row>
    <row r="54" spans="4:28" ht="13.5" customHeight="1" x14ac:dyDescent="0.2">
      <c r="D54" s="58"/>
      <c r="E54" s="58"/>
      <c r="F54" s="58"/>
      <c r="G54" s="58"/>
      <c r="H54" s="58"/>
      <c r="I54" s="58"/>
      <c r="J54" s="58"/>
      <c r="K54" s="58"/>
      <c r="L54" s="58"/>
      <c r="M54" s="58"/>
      <c r="N54" s="58"/>
      <c r="O54" s="58"/>
      <c r="P54" s="58"/>
      <c r="Q54" s="58"/>
      <c r="R54" s="58"/>
      <c r="S54" s="58"/>
      <c r="T54" s="58"/>
      <c r="U54" s="58"/>
      <c r="V54" s="58"/>
      <c r="W54" s="58"/>
      <c r="X54" s="58"/>
      <c r="Y54" s="58"/>
      <c r="Z54" s="58"/>
      <c r="AA54" s="58"/>
      <c r="AB54" s="58"/>
    </row>
    <row r="55" spans="4:28" ht="13.5" customHeight="1" x14ac:dyDescent="0.2">
      <c r="D55" s="58"/>
      <c r="E55" s="58"/>
      <c r="F55" s="58"/>
      <c r="G55" s="58"/>
      <c r="H55" s="58"/>
      <c r="I55" s="58"/>
      <c r="J55" s="58"/>
      <c r="K55" s="58"/>
      <c r="L55" s="58"/>
      <c r="M55" s="58"/>
      <c r="N55" s="58"/>
      <c r="O55" s="58"/>
      <c r="P55" s="58"/>
      <c r="Q55" s="58"/>
      <c r="R55" s="58"/>
      <c r="S55" s="58"/>
      <c r="T55" s="58"/>
      <c r="U55" s="58"/>
      <c r="V55" s="58"/>
      <c r="W55" s="58"/>
      <c r="X55" s="58"/>
      <c r="Y55" s="58"/>
      <c r="Z55" s="58"/>
      <c r="AA55" s="58"/>
      <c r="AB55" s="58"/>
    </row>
    <row r="56" spans="4:28" ht="13.5" customHeight="1" x14ac:dyDescent="0.2">
      <c r="D56" s="58"/>
      <c r="E56" s="58"/>
      <c r="F56" s="58"/>
      <c r="G56" s="58"/>
      <c r="H56" s="58"/>
      <c r="I56" s="58"/>
      <c r="J56" s="58"/>
      <c r="K56" s="58"/>
      <c r="L56" s="58"/>
      <c r="M56" s="58"/>
      <c r="N56" s="58"/>
      <c r="O56" s="58"/>
      <c r="P56" s="58"/>
      <c r="Q56" s="58"/>
      <c r="R56" s="58"/>
      <c r="S56" s="58"/>
      <c r="T56" s="58"/>
      <c r="U56" s="58"/>
      <c r="V56" s="58"/>
      <c r="W56" s="58"/>
      <c r="X56" s="58"/>
      <c r="Y56" s="58"/>
      <c r="Z56" s="58"/>
      <c r="AA56" s="58"/>
      <c r="AB56" s="58"/>
    </row>
    <row r="57" spans="4:28" ht="13.5" customHeight="1" x14ac:dyDescent="0.2">
      <c r="D57" s="58"/>
      <c r="E57" s="58"/>
      <c r="F57" s="58"/>
      <c r="G57" s="58"/>
      <c r="H57" s="58"/>
      <c r="I57" s="58"/>
      <c r="J57" s="58"/>
      <c r="K57" s="58"/>
      <c r="L57" s="58"/>
      <c r="M57" s="58"/>
      <c r="N57" s="58"/>
      <c r="O57" s="58"/>
      <c r="P57" s="58"/>
      <c r="Q57" s="58"/>
      <c r="R57" s="58"/>
      <c r="S57" s="58"/>
      <c r="T57" s="58"/>
      <c r="U57" s="58"/>
      <c r="V57" s="58"/>
      <c r="W57" s="58"/>
      <c r="X57" s="58"/>
      <c r="Y57" s="58"/>
      <c r="Z57" s="58"/>
      <c r="AA57" s="58"/>
      <c r="AB57" s="58"/>
    </row>
    <row r="58" spans="4:28" ht="13.5" customHeight="1" x14ac:dyDescent="0.2">
      <c r="D58" s="58"/>
      <c r="E58" s="58"/>
      <c r="F58" s="58"/>
      <c r="G58" s="58"/>
      <c r="H58" s="58"/>
      <c r="I58" s="58"/>
      <c r="J58" s="58"/>
      <c r="K58" s="58"/>
      <c r="L58" s="58"/>
      <c r="M58" s="58"/>
      <c r="N58" s="58"/>
      <c r="O58" s="58"/>
      <c r="P58" s="58"/>
      <c r="Q58" s="58"/>
      <c r="R58" s="58"/>
      <c r="S58" s="58"/>
      <c r="T58" s="58"/>
      <c r="U58" s="58"/>
      <c r="V58" s="58"/>
      <c r="W58" s="58"/>
      <c r="X58" s="58"/>
      <c r="Y58" s="58"/>
      <c r="Z58" s="58"/>
      <c r="AA58" s="58"/>
      <c r="AB58" s="58"/>
    </row>
    <row r="59" spans="4:28" ht="13.5" customHeight="1" x14ac:dyDescent="0.2">
      <c r="D59" s="58"/>
      <c r="E59" s="58"/>
      <c r="F59" s="58"/>
      <c r="G59" s="58"/>
      <c r="H59" s="58"/>
      <c r="I59" s="58"/>
      <c r="J59" s="58"/>
      <c r="K59" s="58"/>
      <c r="L59" s="58"/>
      <c r="M59" s="58"/>
      <c r="N59" s="58"/>
      <c r="O59" s="58"/>
      <c r="P59" s="58"/>
      <c r="Q59" s="58"/>
      <c r="R59" s="58"/>
      <c r="S59" s="58"/>
      <c r="T59" s="58"/>
      <c r="U59" s="58"/>
      <c r="V59" s="58"/>
      <c r="W59" s="58"/>
      <c r="X59" s="58"/>
      <c r="Y59" s="58"/>
      <c r="Z59" s="58"/>
      <c r="AA59" s="58"/>
      <c r="AB59" s="58"/>
    </row>
    <row r="60" spans="4:28" ht="13.5" customHeight="1" x14ac:dyDescent="0.2">
      <c r="D60" s="58"/>
      <c r="E60" s="58"/>
      <c r="F60" s="58"/>
      <c r="G60" s="58"/>
      <c r="H60" s="58"/>
      <c r="I60" s="58"/>
      <c r="J60" s="58"/>
      <c r="K60" s="58"/>
      <c r="L60" s="58"/>
      <c r="M60" s="58"/>
      <c r="N60" s="58"/>
      <c r="O60" s="58"/>
      <c r="P60" s="58"/>
      <c r="Q60" s="58"/>
      <c r="R60" s="58"/>
      <c r="S60" s="58"/>
      <c r="T60" s="58"/>
      <c r="U60" s="58"/>
      <c r="V60" s="58"/>
      <c r="W60" s="58"/>
      <c r="X60" s="58"/>
      <c r="Y60" s="58"/>
      <c r="Z60" s="58"/>
      <c r="AA60" s="58"/>
      <c r="AB60" s="58"/>
    </row>
    <row r="61" spans="4:28" ht="13.5" customHeight="1" x14ac:dyDescent="0.2">
      <c r="D61" s="58"/>
      <c r="E61" s="58"/>
      <c r="F61" s="58"/>
      <c r="G61" s="58"/>
      <c r="H61" s="58"/>
      <c r="I61" s="58"/>
      <c r="J61" s="58"/>
      <c r="K61" s="58"/>
      <c r="L61" s="58"/>
      <c r="M61" s="58"/>
      <c r="N61" s="58"/>
      <c r="O61" s="58"/>
      <c r="P61" s="58"/>
      <c r="Q61" s="58"/>
      <c r="R61" s="58"/>
      <c r="S61" s="58"/>
      <c r="T61" s="58"/>
      <c r="U61" s="58"/>
      <c r="V61" s="58"/>
      <c r="W61" s="58"/>
      <c r="X61" s="58"/>
      <c r="Y61" s="58"/>
      <c r="Z61" s="58"/>
      <c r="AA61" s="58"/>
      <c r="AB61" s="58"/>
    </row>
    <row r="62" spans="4:28" ht="13.5" customHeight="1" x14ac:dyDescent="0.2">
      <c r="D62" s="58"/>
      <c r="E62" s="58"/>
      <c r="F62" s="58"/>
      <c r="G62" s="58"/>
      <c r="H62" s="58"/>
      <c r="I62" s="58"/>
      <c r="J62" s="58"/>
      <c r="K62" s="58"/>
      <c r="L62" s="58"/>
      <c r="M62" s="58"/>
      <c r="N62" s="58"/>
      <c r="O62" s="58"/>
      <c r="P62" s="58"/>
      <c r="Q62" s="58"/>
      <c r="R62" s="58"/>
      <c r="S62" s="58"/>
      <c r="T62" s="58"/>
      <c r="U62" s="58"/>
      <c r="V62" s="58"/>
      <c r="W62" s="58"/>
      <c r="X62" s="58"/>
      <c r="Y62" s="58"/>
      <c r="Z62" s="58"/>
      <c r="AA62" s="58"/>
      <c r="AB62" s="58"/>
    </row>
    <row r="63" spans="4:28" ht="13.5" customHeight="1" x14ac:dyDescent="0.2">
      <c r="D63" s="58"/>
      <c r="E63" s="58"/>
      <c r="F63" s="58"/>
      <c r="G63" s="58"/>
      <c r="H63" s="58"/>
      <c r="I63" s="58"/>
      <c r="J63" s="58"/>
      <c r="K63" s="58"/>
      <c r="L63" s="58"/>
      <c r="M63" s="58"/>
      <c r="N63" s="58"/>
      <c r="O63" s="58"/>
      <c r="P63" s="58"/>
      <c r="Q63" s="58"/>
      <c r="R63" s="58"/>
      <c r="S63" s="58"/>
      <c r="T63" s="58"/>
      <c r="U63" s="58"/>
      <c r="V63" s="58"/>
      <c r="W63" s="58"/>
      <c r="X63" s="58"/>
      <c r="Y63" s="58"/>
      <c r="Z63" s="58"/>
      <c r="AA63" s="58"/>
      <c r="AB63" s="58"/>
    </row>
    <row r="64" spans="4:28" ht="13.5" customHeight="1" x14ac:dyDescent="0.2">
      <c r="D64" s="58"/>
      <c r="E64" s="58"/>
      <c r="F64" s="58"/>
      <c r="G64" s="58"/>
      <c r="H64" s="58"/>
      <c r="I64" s="58"/>
      <c r="J64" s="58"/>
      <c r="K64" s="58"/>
      <c r="L64" s="58"/>
      <c r="M64" s="58"/>
      <c r="N64" s="58"/>
      <c r="O64" s="58"/>
      <c r="P64" s="58"/>
      <c r="Q64" s="58"/>
      <c r="R64" s="58"/>
      <c r="S64" s="58"/>
      <c r="T64" s="58"/>
      <c r="U64" s="58"/>
      <c r="V64" s="58"/>
      <c r="W64" s="58"/>
      <c r="X64" s="58"/>
      <c r="Y64" s="58"/>
      <c r="Z64" s="58"/>
      <c r="AA64" s="58"/>
      <c r="AB64" s="58"/>
    </row>
    <row r="65" spans="4:28" ht="13.5" customHeight="1" x14ac:dyDescent="0.2">
      <c r="D65" s="58"/>
      <c r="E65" s="58"/>
      <c r="F65" s="58"/>
      <c r="G65" s="58"/>
      <c r="H65" s="58"/>
      <c r="I65" s="58"/>
      <c r="J65" s="58"/>
      <c r="K65" s="58"/>
      <c r="L65" s="58"/>
      <c r="M65" s="58"/>
      <c r="N65" s="58"/>
      <c r="O65" s="58"/>
      <c r="P65" s="58"/>
      <c r="Q65" s="58"/>
      <c r="R65" s="58"/>
      <c r="S65" s="58"/>
      <c r="T65" s="58"/>
      <c r="U65" s="58"/>
      <c r="V65" s="58"/>
      <c r="W65" s="58"/>
      <c r="X65" s="58"/>
      <c r="Y65" s="58"/>
      <c r="Z65" s="58"/>
      <c r="AA65" s="58"/>
      <c r="AB65" s="58"/>
    </row>
    <row r="66" spans="4:28" ht="13.5" customHeight="1" x14ac:dyDescent="0.2">
      <c r="D66" s="58"/>
      <c r="E66" s="58"/>
      <c r="F66" s="58"/>
      <c r="G66" s="58"/>
      <c r="H66" s="58"/>
      <c r="I66" s="58"/>
      <c r="J66" s="58"/>
      <c r="K66" s="58"/>
      <c r="L66" s="58"/>
      <c r="M66" s="58"/>
      <c r="N66" s="58"/>
      <c r="O66" s="58"/>
      <c r="P66" s="58"/>
      <c r="Q66" s="58"/>
      <c r="R66" s="58"/>
      <c r="S66" s="58"/>
      <c r="T66" s="58"/>
      <c r="U66" s="58"/>
      <c r="V66" s="58"/>
      <c r="W66" s="58"/>
      <c r="X66" s="58"/>
      <c r="Y66" s="58"/>
      <c r="Z66" s="58"/>
      <c r="AA66" s="58"/>
      <c r="AB66" s="58"/>
    </row>
    <row r="67" spans="4:28" ht="13.5" customHeight="1" x14ac:dyDescent="0.2">
      <c r="D67" s="58"/>
      <c r="E67" s="58"/>
      <c r="F67" s="58"/>
      <c r="G67" s="58"/>
      <c r="H67" s="58"/>
      <c r="I67" s="58"/>
      <c r="J67" s="58"/>
      <c r="K67" s="58"/>
      <c r="L67" s="58"/>
      <c r="M67" s="58"/>
      <c r="N67" s="58"/>
      <c r="O67" s="58"/>
      <c r="P67" s="58"/>
      <c r="Q67" s="58"/>
      <c r="R67" s="58"/>
      <c r="S67" s="58"/>
      <c r="T67" s="58"/>
      <c r="U67" s="58"/>
      <c r="V67" s="58"/>
      <c r="W67" s="58"/>
      <c r="X67" s="58"/>
      <c r="Y67" s="58"/>
      <c r="Z67" s="58"/>
      <c r="AA67" s="58"/>
      <c r="AB67" s="58"/>
    </row>
    <row r="68" spans="4:28" ht="13.5" customHeight="1" x14ac:dyDescent="0.2">
      <c r="D68" s="58"/>
      <c r="E68" s="58"/>
      <c r="F68" s="58"/>
      <c r="G68" s="58"/>
      <c r="H68" s="58"/>
      <c r="I68" s="58"/>
      <c r="J68" s="58"/>
      <c r="K68" s="58"/>
      <c r="L68" s="58"/>
      <c r="M68" s="58"/>
      <c r="N68" s="58"/>
      <c r="O68" s="58"/>
      <c r="P68" s="58"/>
      <c r="Q68" s="58"/>
      <c r="R68" s="58"/>
      <c r="S68" s="58"/>
      <c r="T68" s="58"/>
      <c r="U68" s="58"/>
      <c r="V68" s="58"/>
      <c r="W68" s="58"/>
      <c r="X68" s="58"/>
      <c r="Y68" s="58"/>
      <c r="Z68" s="58"/>
      <c r="AA68" s="58"/>
      <c r="AB68" s="58"/>
    </row>
    <row r="69" spans="4:28" ht="13.5" customHeight="1" x14ac:dyDescent="0.2">
      <c r="D69" s="58"/>
      <c r="E69" s="58"/>
      <c r="F69" s="58"/>
      <c r="G69" s="58"/>
      <c r="H69" s="58"/>
      <c r="I69" s="58"/>
      <c r="J69" s="58"/>
      <c r="K69" s="58"/>
      <c r="L69" s="58"/>
      <c r="M69" s="58"/>
      <c r="N69" s="58"/>
      <c r="O69" s="58"/>
      <c r="P69" s="58"/>
      <c r="Q69" s="58"/>
      <c r="R69" s="58"/>
      <c r="S69" s="58"/>
      <c r="T69" s="58"/>
      <c r="U69" s="58"/>
      <c r="V69" s="58"/>
      <c r="W69" s="58"/>
      <c r="X69" s="58"/>
      <c r="Y69" s="58"/>
      <c r="Z69" s="58"/>
      <c r="AA69" s="58"/>
      <c r="AB69" s="58"/>
    </row>
    <row r="70" spans="4:28" ht="13.5" customHeight="1" x14ac:dyDescent="0.2">
      <c r="D70" s="58"/>
      <c r="E70" s="58"/>
      <c r="F70" s="58"/>
      <c r="G70" s="58"/>
      <c r="H70" s="58"/>
      <c r="I70" s="58"/>
      <c r="J70" s="58"/>
      <c r="K70" s="58"/>
      <c r="L70" s="58"/>
      <c r="M70" s="58"/>
      <c r="N70" s="58"/>
      <c r="O70" s="58"/>
      <c r="P70" s="58"/>
      <c r="Q70" s="58"/>
      <c r="R70" s="58"/>
      <c r="S70" s="58"/>
      <c r="T70" s="58"/>
      <c r="U70" s="58"/>
      <c r="V70" s="58"/>
      <c r="W70" s="58"/>
      <c r="X70" s="58"/>
      <c r="Y70" s="58"/>
      <c r="Z70" s="58"/>
      <c r="AA70" s="58"/>
      <c r="AB70" s="58"/>
    </row>
    <row r="71" spans="4:28" ht="13.5" customHeight="1" x14ac:dyDescent="0.2">
      <c r="D71" s="58"/>
      <c r="E71" s="58"/>
      <c r="F71" s="58"/>
      <c r="G71" s="58"/>
      <c r="H71" s="58"/>
      <c r="I71" s="58"/>
      <c r="J71" s="58"/>
      <c r="K71" s="58"/>
      <c r="L71" s="58"/>
      <c r="M71" s="58"/>
      <c r="N71" s="58"/>
      <c r="O71" s="58"/>
      <c r="P71" s="58"/>
      <c r="Q71" s="58"/>
      <c r="R71" s="58"/>
      <c r="S71" s="58"/>
      <c r="T71" s="58"/>
      <c r="U71" s="58"/>
      <c r="V71" s="58"/>
      <c r="W71" s="58"/>
      <c r="X71" s="58"/>
      <c r="Y71" s="58"/>
      <c r="Z71" s="58"/>
      <c r="AA71" s="58"/>
      <c r="AB71" s="58"/>
    </row>
    <row r="72" spans="4:28" ht="13.5" customHeight="1" x14ac:dyDescent="0.2">
      <c r="D72" s="58"/>
      <c r="E72" s="58"/>
      <c r="F72" s="58"/>
      <c r="G72" s="58"/>
      <c r="H72" s="58"/>
      <c r="I72" s="58"/>
      <c r="J72" s="58"/>
      <c r="K72" s="58"/>
      <c r="L72" s="58"/>
      <c r="M72" s="58"/>
      <c r="N72" s="58"/>
      <c r="O72" s="58"/>
      <c r="P72" s="58"/>
      <c r="Q72" s="58"/>
      <c r="R72" s="58"/>
      <c r="S72" s="58"/>
      <c r="T72" s="58"/>
      <c r="U72" s="58"/>
      <c r="V72" s="58"/>
      <c r="W72" s="58"/>
      <c r="X72" s="58"/>
      <c r="Y72" s="58"/>
      <c r="Z72" s="58"/>
      <c r="AA72" s="58"/>
      <c r="AB72" s="58"/>
    </row>
    <row r="73" spans="4:28" ht="13.5" customHeight="1" x14ac:dyDescent="0.2">
      <c r="D73" s="58"/>
      <c r="E73" s="58"/>
      <c r="F73" s="58"/>
      <c r="G73" s="58"/>
      <c r="H73" s="58"/>
      <c r="I73" s="58"/>
      <c r="J73" s="58"/>
      <c r="K73" s="58"/>
      <c r="L73" s="58"/>
      <c r="M73" s="58"/>
      <c r="N73" s="58"/>
      <c r="O73" s="58"/>
      <c r="P73" s="58"/>
      <c r="Q73" s="58"/>
      <c r="R73" s="58"/>
      <c r="S73" s="58"/>
      <c r="T73" s="58"/>
      <c r="U73" s="58"/>
      <c r="V73" s="58"/>
      <c r="W73" s="58"/>
      <c r="X73" s="58"/>
      <c r="Y73" s="58"/>
      <c r="Z73" s="58"/>
      <c r="AA73" s="58"/>
      <c r="AB73" s="58"/>
    </row>
    <row r="74" spans="4:28" ht="13.5" customHeight="1" x14ac:dyDescent="0.2">
      <c r="D74" s="58"/>
      <c r="E74" s="58"/>
      <c r="F74" s="58"/>
      <c r="G74" s="58"/>
      <c r="H74" s="58"/>
      <c r="I74" s="58"/>
      <c r="J74" s="58"/>
      <c r="K74" s="58"/>
      <c r="L74" s="58"/>
      <c r="M74" s="58"/>
      <c r="N74" s="58"/>
      <c r="O74" s="58"/>
      <c r="P74" s="58"/>
      <c r="Q74" s="58"/>
      <c r="R74" s="58"/>
      <c r="S74" s="58"/>
      <c r="T74" s="58"/>
      <c r="U74" s="58"/>
      <c r="V74" s="58"/>
      <c r="W74" s="58"/>
      <c r="X74" s="58"/>
      <c r="Y74" s="58"/>
      <c r="Z74" s="58"/>
      <c r="AA74" s="58"/>
      <c r="AB74" s="58"/>
    </row>
    <row r="75" spans="4:28" ht="13.5" customHeight="1" x14ac:dyDescent="0.2">
      <c r="D75" s="58"/>
      <c r="E75" s="58"/>
      <c r="F75" s="58"/>
      <c r="G75" s="58"/>
      <c r="H75" s="58"/>
      <c r="I75" s="58"/>
      <c r="J75" s="58"/>
      <c r="K75" s="58"/>
      <c r="L75" s="58"/>
      <c r="M75" s="58"/>
      <c r="N75" s="58"/>
      <c r="O75" s="58"/>
      <c r="P75" s="58"/>
      <c r="Q75" s="58"/>
      <c r="R75" s="58"/>
      <c r="S75" s="58"/>
      <c r="T75" s="58"/>
      <c r="U75" s="58"/>
      <c r="V75" s="58"/>
      <c r="W75" s="58"/>
      <c r="X75" s="58"/>
      <c r="Y75" s="58"/>
      <c r="Z75" s="58"/>
      <c r="AA75" s="58"/>
      <c r="AB75" s="58"/>
    </row>
    <row r="76" spans="4:28" ht="13.5" customHeight="1" x14ac:dyDescent="0.2">
      <c r="D76" s="58"/>
      <c r="E76" s="58"/>
      <c r="F76" s="58"/>
      <c r="G76" s="58"/>
      <c r="H76" s="58"/>
      <c r="I76" s="58"/>
      <c r="J76" s="58"/>
      <c r="K76" s="58"/>
      <c r="L76" s="58"/>
      <c r="M76" s="58"/>
      <c r="N76" s="58"/>
      <c r="O76" s="58"/>
      <c r="P76" s="58"/>
      <c r="Q76" s="58"/>
      <c r="R76" s="58"/>
      <c r="S76" s="58"/>
      <c r="T76" s="58"/>
      <c r="U76" s="58"/>
      <c r="V76" s="58"/>
      <c r="W76" s="58"/>
      <c r="X76" s="58"/>
      <c r="Y76" s="58"/>
      <c r="Z76" s="58"/>
      <c r="AA76" s="58"/>
      <c r="AB76" s="58"/>
    </row>
    <row r="77" spans="4:28" ht="13.5" customHeight="1" x14ac:dyDescent="0.2">
      <c r="D77" s="58"/>
      <c r="E77" s="58"/>
      <c r="F77" s="58"/>
      <c r="G77" s="58"/>
      <c r="H77" s="58"/>
      <c r="I77" s="58"/>
      <c r="J77" s="58"/>
      <c r="K77" s="58"/>
      <c r="L77" s="58"/>
      <c r="M77" s="58"/>
      <c r="N77" s="58"/>
      <c r="O77" s="58"/>
      <c r="P77" s="58"/>
      <c r="Q77" s="58"/>
      <c r="R77" s="58"/>
      <c r="S77" s="58"/>
      <c r="T77" s="58"/>
      <c r="U77" s="58"/>
      <c r="V77" s="58"/>
      <c r="W77" s="58"/>
      <c r="X77" s="58"/>
      <c r="Y77" s="58"/>
      <c r="Z77" s="58"/>
      <c r="AA77" s="58"/>
      <c r="AB77" s="58"/>
    </row>
    <row r="78" spans="4:28" ht="13.5" customHeight="1" x14ac:dyDescent="0.2">
      <c r="D78" s="58"/>
      <c r="E78" s="58"/>
      <c r="F78" s="58"/>
      <c r="G78" s="58"/>
      <c r="H78" s="58"/>
      <c r="I78" s="58"/>
      <c r="J78" s="58"/>
      <c r="K78" s="58"/>
      <c r="L78" s="58"/>
      <c r="M78" s="58"/>
      <c r="N78" s="58"/>
      <c r="O78" s="58"/>
      <c r="P78" s="58"/>
      <c r="Q78" s="58"/>
      <c r="R78" s="58"/>
      <c r="S78" s="58"/>
      <c r="T78" s="58"/>
      <c r="U78" s="58"/>
      <c r="V78" s="58"/>
      <c r="W78" s="58"/>
      <c r="X78" s="58"/>
      <c r="Y78" s="58"/>
      <c r="Z78" s="58"/>
      <c r="AA78" s="58"/>
      <c r="AB78" s="58"/>
    </row>
    <row r="79" spans="4:28" ht="13.5" customHeight="1" x14ac:dyDescent="0.2">
      <c r="D79" s="58"/>
      <c r="E79" s="58"/>
      <c r="F79" s="58"/>
      <c r="G79" s="58"/>
      <c r="H79" s="58"/>
      <c r="I79" s="58"/>
      <c r="J79" s="58"/>
      <c r="K79" s="58"/>
      <c r="L79" s="58"/>
      <c r="M79" s="58"/>
      <c r="N79" s="58"/>
      <c r="O79" s="58"/>
      <c r="P79" s="58"/>
      <c r="Q79" s="58"/>
      <c r="R79" s="58"/>
      <c r="S79" s="58"/>
      <c r="T79" s="58"/>
      <c r="U79" s="58"/>
      <c r="V79" s="58"/>
      <c r="W79" s="58"/>
      <c r="X79" s="58"/>
      <c r="Y79" s="58"/>
      <c r="Z79" s="58"/>
      <c r="AA79" s="58"/>
      <c r="AB79" s="58"/>
    </row>
    <row r="80" spans="4:28" ht="13.5" customHeight="1" x14ac:dyDescent="0.2">
      <c r="D80" s="58"/>
      <c r="E80" s="58"/>
      <c r="F80" s="58"/>
      <c r="G80" s="58"/>
      <c r="H80" s="58"/>
      <c r="I80" s="58"/>
      <c r="J80" s="58"/>
      <c r="K80" s="58"/>
      <c r="L80" s="58"/>
      <c r="M80" s="58"/>
      <c r="N80" s="58"/>
      <c r="O80" s="58"/>
      <c r="P80" s="58"/>
      <c r="Q80" s="58"/>
      <c r="R80" s="58"/>
      <c r="S80" s="58"/>
      <c r="T80" s="58"/>
      <c r="U80" s="58"/>
      <c r="V80" s="58"/>
      <c r="W80" s="58"/>
      <c r="X80" s="58"/>
      <c r="Y80" s="58"/>
      <c r="Z80" s="58"/>
      <c r="AA80" s="58"/>
      <c r="AB80" s="58"/>
    </row>
    <row r="81" spans="4:28" ht="13.5" customHeight="1" x14ac:dyDescent="0.2">
      <c r="D81" s="58"/>
      <c r="E81" s="58"/>
      <c r="F81" s="58"/>
      <c r="G81" s="58"/>
      <c r="H81" s="58"/>
      <c r="I81" s="58"/>
      <c r="J81" s="58"/>
      <c r="K81" s="58"/>
      <c r="L81" s="58"/>
      <c r="M81" s="58"/>
      <c r="N81" s="58"/>
      <c r="O81" s="58"/>
      <c r="P81" s="58"/>
      <c r="Q81" s="58"/>
      <c r="R81" s="58"/>
      <c r="S81" s="58"/>
      <c r="T81" s="58"/>
      <c r="U81" s="58"/>
      <c r="V81" s="58"/>
      <c r="W81" s="58"/>
      <c r="X81" s="58"/>
      <c r="Y81" s="58"/>
      <c r="Z81" s="58"/>
      <c r="AA81" s="58"/>
      <c r="AB81" s="58"/>
    </row>
    <row r="82" spans="4:28" ht="13.5" customHeight="1" x14ac:dyDescent="0.2">
      <c r="D82" s="58"/>
      <c r="E82" s="58"/>
      <c r="F82" s="58"/>
      <c r="G82" s="58"/>
      <c r="H82" s="58"/>
      <c r="I82" s="58"/>
      <c r="J82" s="58"/>
      <c r="K82" s="58"/>
      <c r="L82" s="58"/>
      <c r="M82" s="58"/>
      <c r="N82" s="58"/>
      <c r="O82" s="58"/>
      <c r="P82" s="58"/>
      <c r="Q82" s="58"/>
      <c r="R82" s="58"/>
      <c r="S82" s="58"/>
      <c r="T82" s="58"/>
      <c r="U82" s="58"/>
      <c r="V82" s="58"/>
      <c r="W82" s="58"/>
      <c r="X82" s="58"/>
      <c r="Y82" s="58"/>
      <c r="Z82" s="58"/>
      <c r="AA82" s="58"/>
      <c r="AB82" s="58"/>
    </row>
    <row r="83" spans="4:28" ht="13.5" customHeight="1" x14ac:dyDescent="0.2">
      <c r="D83" s="58"/>
      <c r="E83" s="58"/>
      <c r="F83" s="58"/>
      <c r="G83" s="58"/>
      <c r="H83" s="58"/>
      <c r="I83" s="58"/>
      <c r="J83" s="58"/>
      <c r="K83" s="58"/>
      <c r="L83" s="58"/>
      <c r="M83" s="58"/>
      <c r="N83" s="58"/>
      <c r="O83" s="58"/>
      <c r="P83" s="58"/>
      <c r="Q83" s="58"/>
      <c r="R83" s="58"/>
      <c r="S83" s="58"/>
      <c r="T83" s="58"/>
      <c r="U83" s="58"/>
      <c r="V83" s="58"/>
      <c r="W83" s="58"/>
      <c r="X83" s="58"/>
      <c r="Y83" s="58"/>
      <c r="Z83" s="58"/>
      <c r="AA83" s="58"/>
      <c r="AB83" s="58"/>
    </row>
    <row r="84" spans="4:28" ht="13.5" customHeight="1" x14ac:dyDescent="0.2">
      <c r="D84" s="58"/>
      <c r="E84" s="58"/>
      <c r="F84" s="58"/>
      <c r="G84" s="58"/>
      <c r="H84" s="58"/>
      <c r="I84" s="58"/>
      <c r="J84" s="58"/>
      <c r="K84" s="58"/>
      <c r="L84" s="58"/>
      <c r="M84" s="58"/>
      <c r="N84" s="58"/>
      <c r="O84" s="58"/>
      <c r="P84" s="58"/>
      <c r="Q84" s="58"/>
      <c r="R84" s="58"/>
      <c r="S84" s="58"/>
      <c r="T84" s="58"/>
      <c r="U84" s="58"/>
      <c r="V84" s="58"/>
      <c r="W84" s="58"/>
      <c r="X84" s="58"/>
      <c r="Y84" s="58"/>
      <c r="Z84" s="58"/>
      <c r="AA84" s="58"/>
      <c r="AB84" s="58"/>
    </row>
    <row r="85" spans="4:28" ht="13.5" customHeight="1" x14ac:dyDescent="0.2"/>
    <row r="86" spans="4:28" ht="13.5" customHeight="1" x14ac:dyDescent="0.2"/>
    <row r="87" spans="4:28" ht="13.5" customHeight="1" x14ac:dyDescent="0.2"/>
    <row r="88" spans="4:28" ht="13.5" customHeight="1" x14ac:dyDescent="0.2"/>
    <row r="89" spans="4:28" ht="13.5" customHeight="1" x14ac:dyDescent="0.2"/>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2" fitToHeight="10" orientation="landscape" r:id="rId1"/>
  <headerFooter>
    <oddFooter>&amp;R&amp;P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82"/>
  <sheetViews>
    <sheetView view="pageBreakPreview" zoomScale="80" zoomScaleNormal="100" zoomScaleSheetLayoutView="80" workbookViewId="0">
      <selection activeCell="B54" sqref="B54:U54"/>
    </sheetView>
  </sheetViews>
  <sheetFormatPr baseColWidth="10" defaultColWidth="10" defaultRowHeight="12.75" x14ac:dyDescent="0.2"/>
  <cols>
    <col min="1" max="1" width="3.5" style="1" customWidth="1"/>
    <col min="2" max="2" width="14.6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8.62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375" style="1" customWidth="1"/>
    <col min="19" max="19" width="13" style="1" customWidth="1"/>
    <col min="20" max="20" width="10.75" style="1" customWidth="1"/>
    <col min="21" max="21" width="12.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5" t="s">
        <v>0</v>
      </c>
      <c r="C1" s="55"/>
      <c r="D1" s="55"/>
      <c r="E1" s="55"/>
      <c r="F1" s="55"/>
      <c r="G1" s="55"/>
      <c r="H1" s="55"/>
      <c r="I1" s="55"/>
      <c r="J1" s="55"/>
      <c r="K1" s="55"/>
      <c r="L1" s="55"/>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42" t="s">
        <v>6</v>
      </c>
      <c r="C4" s="43" t="s">
        <v>521</v>
      </c>
      <c r="D4" s="102" t="s">
        <v>522</v>
      </c>
      <c r="E4" s="102"/>
      <c r="F4" s="102"/>
      <c r="G4" s="102"/>
      <c r="H4" s="102"/>
      <c r="I4" s="44"/>
      <c r="J4" s="45" t="s">
        <v>9</v>
      </c>
      <c r="K4" s="46" t="s">
        <v>10</v>
      </c>
      <c r="L4" s="103" t="s">
        <v>11</v>
      </c>
      <c r="M4" s="103"/>
      <c r="N4" s="103"/>
      <c r="O4" s="103"/>
      <c r="P4" s="45" t="s">
        <v>12</v>
      </c>
      <c r="Q4" s="103" t="s">
        <v>523</v>
      </c>
      <c r="R4" s="103"/>
      <c r="S4" s="45" t="s">
        <v>14</v>
      </c>
      <c r="T4" s="103"/>
      <c r="U4" s="104"/>
    </row>
    <row r="5" spans="1:21" ht="15.75" customHeight="1" x14ac:dyDescent="0.2">
      <c r="B5" s="99" t="s">
        <v>15</v>
      </c>
      <c r="C5" s="100"/>
      <c r="D5" s="100"/>
      <c r="E5" s="100"/>
      <c r="F5" s="100"/>
      <c r="G5" s="100"/>
      <c r="H5" s="100"/>
      <c r="I5" s="100"/>
      <c r="J5" s="100"/>
      <c r="K5" s="100"/>
      <c r="L5" s="100"/>
      <c r="M5" s="100"/>
      <c r="N5" s="100"/>
      <c r="O5" s="100"/>
      <c r="P5" s="100"/>
      <c r="Q5" s="100"/>
      <c r="R5" s="100"/>
      <c r="S5" s="100"/>
      <c r="T5" s="100"/>
      <c r="U5" s="101"/>
    </row>
    <row r="6" spans="1:21" ht="55.5" customHeight="1" thickBot="1" x14ac:dyDescent="0.25">
      <c r="B6" s="47" t="s">
        <v>16</v>
      </c>
      <c r="C6" s="76" t="s">
        <v>17</v>
      </c>
      <c r="D6" s="76"/>
      <c r="E6" s="76"/>
      <c r="F6" s="76"/>
      <c r="G6" s="76"/>
      <c r="H6" s="48"/>
      <c r="I6" s="48"/>
      <c r="J6" s="48" t="s">
        <v>18</v>
      </c>
      <c r="K6" s="76" t="s">
        <v>19</v>
      </c>
      <c r="L6" s="76"/>
      <c r="M6" s="76"/>
      <c r="N6" s="49"/>
      <c r="O6" s="48" t="s">
        <v>20</v>
      </c>
      <c r="P6" s="76" t="s">
        <v>21</v>
      </c>
      <c r="Q6" s="76"/>
      <c r="R6" s="50"/>
      <c r="S6" s="48" t="s">
        <v>22</v>
      </c>
      <c r="T6" s="76" t="s">
        <v>23</v>
      </c>
      <c r="U6" s="77"/>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8" t="s">
        <v>25</v>
      </c>
      <c r="C8" s="81" t="s">
        <v>26</v>
      </c>
      <c r="D8" s="81"/>
      <c r="E8" s="81"/>
      <c r="F8" s="81"/>
      <c r="G8" s="81"/>
      <c r="H8" s="82"/>
      <c r="I8" s="87" t="s">
        <v>27</v>
      </c>
      <c r="J8" s="88"/>
      <c r="K8" s="88"/>
      <c r="L8" s="88"/>
      <c r="M8" s="88"/>
      <c r="N8" s="88"/>
      <c r="O8" s="88"/>
      <c r="P8" s="88"/>
      <c r="Q8" s="88"/>
      <c r="R8" s="88"/>
      <c r="S8" s="89"/>
      <c r="T8" s="90" t="s">
        <v>28</v>
      </c>
      <c r="U8" s="91"/>
    </row>
    <row r="9" spans="1:21" ht="19.5" customHeight="1" x14ac:dyDescent="0.2">
      <c r="B9" s="79"/>
      <c r="C9" s="83"/>
      <c r="D9" s="83"/>
      <c r="E9" s="83"/>
      <c r="F9" s="83"/>
      <c r="G9" s="83"/>
      <c r="H9" s="84"/>
      <c r="I9" s="92" t="s">
        <v>29</v>
      </c>
      <c r="J9" s="81"/>
      <c r="K9" s="81"/>
      <c r="L9" s="81" t="s">
        <v>30</v>
      </c>
      <c r="M9" s="81"/>
      <c r="N9" s="81"/>
      <c r="O9" s="81"/>
      <c r="P9" s="81" t="s">
        <v>31</v>
      </c>
      <c r="Q9" s="81" t="s">
        <v>32</v>
      </c>
      <c r="R9" s="95" t="s">
        <v>33</v>
      </c>
      <c r="S9" s="96"/>
      <c r="T9" s="81" t="s">
        <v>34</v>
      </c>
      <c r="U9" s="97" t="s">
        <v>35</v>
      </c>
    </row>
    <row r="10" spans="1:21" ht="26.25" customHeight="1" thickBot="1" x14ac:dyDescent="0.25">
      <c r="B10" s="80"/>
      <c r="C10" s="85"/>
      <c r="D10" s="85"/>
      <c r="E10" s="85"/>
      <c r="F10" s="85"/>
      <c r="G10" s="85"/>
      <c r="H10" s="86"/>
      <c r="I10" s="93"/>
      <c r="J10" s="94"/>
      <c r="K10" s="94"/>
      <c r="L10" s="94"/>
      <c r="M10" s="94"/>
      <c r="N10" s="94"/>
      <c r="O10" s="94"/>
      <c r="P10" s="94"/>
      <c r="Q10" s="94"/>
      <c r="R10" s="14" t="s">
        <v>36</v>
      </c>
      <c r="S10" s="15" t="s">
        <v>37</v>
      </c>
      <c r="T10" s="94"/>
      <c r="U10" s="98"/>
    </row>
    <row r="11" spans="1:21" ht="272.25" customHeight="1" thickTop="1" thickBot="1" x14ac:dyDescent="0.25">
      <c r="A11" s="16"/>
      <c r="B11" s="17" t="s">
        <v>75</v>
      </c>
      <c r="C11" s="74" t="s">
        <v>524</v>
      </c>
      <c r="D11" s="74"/>
      <c r="E11" s="74"/>
      <c r="F11" s="74"/>
      <c r="G11" s="74"/>
      <c r="H11" s="74"/>
      <c r="I11" s="74" t="s">
        <v>525</v>
      </c>
      <c r="J11" s="74"/>
      <c r="K11" s="74"/>
      <c r="L11" s="75" t="s">
        <v>526</v>
      </c>
      <c r="M11" s="75"/>
      <c r="N11" s="75"/>
      <c r="O11" s="75"/>
      <c r="P11" s="18" t="s">
        <v>527</v>
      </c>
      <c r="Q11" s="18" t="s">
        <v>79</v>
      </c>
      <c r="R11" s="41">
        <v>2</v>
      </c>
      <c r="S11" s="41">
        <v>2</v>
      </c>
      <c r="T11" s="41" t="s">
        <v>80</v>
      </c>
      <c r="U11" s="51">
        <v>0</v>
      </c>
    </row>
    <row r="12" spans="1:21" ht="133.5" customHeight="1" thickTop="1" x14ac:dyDescent="0.2">
      <c r="A12" s="16"/>
      <c r="B12" s="17" t="s">
        <v>81</v>
      </c>
      <c r="C12" s="74" t="s">
        <v>528</v>
      </c>
      <c r="D12" s="74"/>
      <c r="E12" s="74"/>
      <c r="F12" s="74"/>
      <c r="G12" s="74"/>
      <c r="H12" s="74"/>
      <c r="I12" s="74" t="s">
        <v>529</v>
      </c>
      <c r="J12" s="74"/>
      <c r="K12" s="74"/>
      <c r="L12" s="75" t="s">
        <v>530</v>
      </c>
      <c r="M12" s="75"/>
      <c r="N12" s="75"/>
      <c r="O12" s="75"/>
      <c r="P12" s="18" t="s">
        <v>48</v>
      </c>
      <c r="Q12" s="18" t="s">
        <v>165</v>
      </c>
      <c r="R12" s="18">
        <v>55</v>
      </c>
      <c r="S12" s="18">
        <v>55</v>
      </c>
      <c r="T12" s="18">
        <v>68.94</v>
      </c>
      <c r="U12" s="51">
        <f>125.4</f>
        <v>125.4</v>
      </c>
    </row>
    <row r="13" spans="1:21" ht="133.5" customHeight="1" x14ac:dyDescent="0.2">
      <c r="A13" s="16"/>
      <c r="B13" s="20" t="s">
        <v>49</v>
      </c>
      <c r="C13" s="65" t="s">
        <v>49</v>
      </c>
      <c r="D13" s="65"/>
      <c r="E13" s="65"/>
      <c r="F13" s="65"/>
      <c r="G13" s="65"/>
      <c r="H13" s="65"/>
      <c r="I13" s="65" t="s">
        <v>531</v>
      </c>
      <c r="J13" s="65"/>
      <c r="K13" s="65"/>
      <c r="L13" s="66" t="s">
        <v>532</v>
      </c>
      <c r="M13" s="66"/>
      <c r="N13" s="66"/>
      <c r="O13" s="66"/>
      <c r="P13" s="21" t="s">
        <v>48</v>
      </c>
      <c r="Q13" s="21" t="s">
        <v>533</v>
      </c>
      <c r="R13" s="21">
        <v>17</v>
      </c>
      <c r="S13" s="21">
        <v>17</v>
      </c>
      <c r="T13" s="21" t="s">
        <v>80</v>
      </c>
      <c r="U13" s="22">
        <v>0</v>
      </c>
    </row>
    <row r="14" spans="1:21" ht="133.5" customHeight="1" x14ac:dyDescent="0.2">
      <c r="A14" s="16"/>
      <c r="B14" s="20" t="s">
        <v>49</v>
      </c>
      <c r="C14" s="65" t="s">
        <v>49</v>
      </c>
      <c r="D14" s="65"/>
      <c r="E14" s="65"/>
      <c r="F14" s="65"/>
      <c r="G14" s="65"/>
      <c r="H14" s="65"/>
      <c r="I14" s="65" t="s">
        <v>534</v>
      </c>
      <c r="J14" s="65"/>
      <c r="K14" s="65"/>
      <c r="L14" s="66" t="s">
        <v>535</v>
      </c>
      <c r="M14" s="66"/>
      <c r="N14" s="66"/>
      <c r="O14" s="66"/>
      <c r="P14" s="21" t="s">
        <v>48</v>
      </c>
      <c r="Q14" s="21" t="s">
        <v>165</v>
      </c>
      <c r="R14" s="21">
        <v>80</v>
      </c>
      <c r="S14" s="21">
        <v>80</v>
      </c>
      <c r="T14" s="21">
        <v>90.06</v>
      </c>
      <c r="U14" s="22">
        <f>112.6</f>
        <v>112.6</v>
      </c>
    </row>
    <row r="15" spans="1:21" ht="133.5" customHeight="1" x14ac:dyDescent="0.2">
      <c r="A15" s="16"/>
      <c r="B15" s="20" t="s">
        <v>49</v>
      </c>
      <c r="C15" s="65" t="s">
        <v>49</v>
      </c>
      <c r="D15" s="65"/>
      <c r="E15" s="65"/>
      <c r="F15" s="65"/>
      <c r="G15" s="65"/>
      <c r="H15" s="65"/>
      <c r="I15" s="65" t="s">
        <v>536</v>
      </c>
      <c r="J15" s="65"/>
      <c r="K15" s="65"/>
      <c r="L15" s="66" t="s">
        <v>537</v>
      </c>
      <c r="M15" s="66"/>
      <c r="N15" s="66"/>
      <c r="O15" s="66"/>
      <c r="P15" s="21" t="s">
        <v>48</v>
      </c>
      <c r="Q15" s="21" t="s">
        <v>165</v>
      </c>
      <c r="R15" s="21">
        <v>62</v>
      </c>
      <c r="S15" s="21">
        <v>62</v>
      </c>
      <c r="T15" s="21">
        <v>71.489999999999995</v>
      </c>
      <c r="U15" s="22">
        <f>115.3</f>
        <v>115.3</v>
      </c>
    </row>
    <row r="16" spans="1:21" ht="133.5" customHeight="1" x14ac:dyDescent="0.2">
      <c r="A16" s="16"/>
      <c r="B16" s="20" t="s">
        <v>49</v>
      </c>
      <c r="C16" s="65" t="s">
        <v>49</v>
      </c>
      <c r="D16" s="65"/>
      <c r="E16" s="65"/>
      <c r="F16" s="65"/>
      <c r="G16" s="65"/>
      <c r="H16" s="65"/>
      <c r="I16" s="65" t="s">
        <v>538</v>
      </c>
      <c r="J16" s="65"/>
      <c r="K16" s="65"/>
      <c r="L16" s="66" t="s">
        <v>539</v>
      </c>
      <c r="M16" s="66"/>
      <c r="N16" s="66"/>
      <c r="O16" s="66"/>
      <c r="P16" s="21" t="s">
        <v>48</v>
      </c>
      <c r="Q16" s="21" t="s">
        <v>165</v>
      </c>
      <c r="R16" s="21">
        <v>0.1</v>
      </c>
      <c r="S16" s="21">
        <v>2.2400000000000002</v>
      </c>
      <c r="T16" s="21">
        <v>1.18</v>
      </c>
      <c r="U16" s="22">
        <f>52.7</f>
        <v>52.7</v>
      </c>
    </row>
    <row r="17" spans="1:21" ht="133.5" customHeight="1" x14ac:dyDescent="0.2">
      <c r="A17" s="16"/>
      <c r="B17" s="20" t="s">
        <v>49</v>
      </c>
      <c r="C17" s="65" t="s">
        <v>49</v>
      </c>
      <c r="D17" s="65"/>
      <c r="E17" s="65"/>
      <c r="F17" s="65"/>
      <c r="G17" s="65"/>
      <c r="H17" s="65"/>
      <c r="I17" s="65" t="s">
        <v>540</v>
      </c>
      <c r="J17" s="65"/>
      <c r="K17" s="65"/>
      <c r="L17" s="66" t="s">
        <v>541</v>
      </c>
      <c r="M17" s="66"/>
      <c r="N17" s="66"/>
      <c r="O17" s="66"/>
      <c r="P17" s="21" t="s">
        <v>48</v>
      </c>
      <c r="Q17" s="21" t="s">
        <v>533</v>
      </c>
      <c r="R17" s="21">
        <v>22.95</v>
      </c>
      <c r="S17" s="21">
        <v>22.95</v>
      </c>
      <c r="T17" s="21" t="s">
        <v>80</v>
      </c>
      <c r="U17" s="22">
        <v>0</v>
      </c>
    </row>
    <row r="18" spans="1:21" ht="133.5" customHeight="1" thickBot="1" x14ac:dyDescent="0.25">
      <c r="A18" s="16"/>
      <c r="B18" s="20" t="s">
        <v>49</v>
      </c>
      <c r="C18" s="65" t="s">
        <v>49</v>
      </c>
      <c r="D18" s="65"/>
      <c r="E18" s="65"/>
      <c r="F18" s="65"/>
      <c r="G18" s="65"/>
      <c r="H18" s="65"/>
      <c r="I18" s="65" t="s">
        <v>542</v>
      </c>
      <c r="J18" s="65"/>
      <c r="K18" s="65"/>
      <c r="L18" s="66" t="s">
        <v>543</v>
      </c>
      <c r="M18" s="66"/>
      <c r="N18" s="66"/>
      <c r="O18" s="66"/>
      <c r="P18" s="21" t="s">
        <v>48</v>
      </c>
      <c r="Q18" s="21" t="s">
        <v>165</v>
      </c>
      <c r="R18" s="21">
        <v>0.1</v>
      </c>
      <c r="S18" s="21">
        <v>0.7</v>
      </c>
      <c r="T18" s="21">
        <v>0.63</v>
      </c>
      <c r="U18" s="22">
        <f>89.7</f>
        <v>89.7</v>
      </c>
    </row>
    <row r="19" spans="1:21" ht="133.5" customHeight="1" thickTop="1" x14ac:dyDescent="0.2">
      <c r="A19" s="16"/>
      <c r="B19" s="17" t="s">
        <v>38</v>
      </c>
      <c r="C19" s="74" t="s">
        <v>544</v>
      </c>
      <c r="D19" s="74"/>
      <c r="E19" s="74"/>
      <c r="F19" s="74"/>
      <c r="G19" s="74"/>
      <c r="H19" s="74"/>
      <c r="I19" s="74" t="s">
        <v>545</v>
      </c>
      <c r="J19" s="74"/>
      <c r="K19" s="74"/>
      <c r="L19" s="75" t="s">
        <v>546</v>
      </c>
      <c r="M19" s="75"/>
      <c r="N19" s="75"/>
      <c r="O19" s="75"/>
      <c r="P19" s="18" t="s">
        <v>48</v>
      </c>
      <c r="Q19" s="18" t="s">
        <v>85</v>
      </c>
      <c r="R19" s="18">
        <v>98</v>
      </c>
      <c r="S19" s="18">
        <v>98</v>
      </c>
      <c r="T19" s="18">
        <v>99.49</v>
      </c>
      <c r="U19" s="51">
        <f>101.5</f>
        <v>101.5</v>
      </c>
    </row>
    <row r="20" spans="1:21" ht="133.5" customHeight="1" x14ac:dyDescent="0.2">
      <c r="A20" s="16"/>
      <c r="B20" s="20" t="s">
        <v>49</v>
      </c>
      <c r="C20" s="65" t="s">
        <v>49</v>
      </c>
      <c r="D20" s="65"/>
      <c r="E20" s="65"/>
      <c r="F20" s="65"/>
      <c r="G20" s="65"/>
      <c r="H20" s="65"/>
      <c r="I20" s="65" t="s">
        <v>547</v>
      </c>
      <c r="J20" s="65"/>
      <c r="K20" s="65"/>
      <c r="L20" s="66" t="s">
        <v>548</v>
      </c>
      <c r="M20" s="66"/>
      <c r="N20" s="66"/>
      <c r="O20" s="66"/>
      <c r="P20" s="21" t="s">
        <v>48</v>
      </c>
      <c r="Q20" s="21" t="s">
        <v>549</v>
      </c>
      <c r="R20" s="21">
        <v>98</v>
      </c>
      <c r="S20" s="21">
        <v>98</v>
      </c>
      <c r="T20" s="21">
        <v>99.59</v>
      </c>
      <c r="U20" s="22">
        <f>101.6</f>
        <v>101.6</v>
      </c>
    </row>
    <row r="21" spans="1:21" ht="133.5" customHeight="1" x14ac:dyDescent="0.2">
      <c r="A21" s="16"/>
      <c r="B21" s="20" t="s">
        <v>49</v>
      </c>
      <c r="C21" s="65" t="s">
        <v>49</v>
      </c>
      <c r="D21" s="65"/>
      <c r="E21" s="65"/>
      <c r="F21" s="65"/>
      <c r="G21" s="65"/>
      <c r="H21" s="65"/>
      <c r="I21" s="65" t="s">
        <v>550</v>
      </c>
      <c r="J21" s="65"/>
      <c r="K21" s="65"/>
      <c r="L21" s="66" t="s">
        <v>551</v>
      </c>
      <c r="M21" s="66"/>
      <c r="N21" s="66"/>
      <c r="O21" s="66"/>
      <c r="P21" s="21" t="s">
        <v>552</v>
      </c>
      <c r="Q21" s="21" t="s">
        <v>91</v>
      </c>
      <c r="R21" s="40">
        <v>6002000</v>
      </c>
      <c r="S21" s="40">
        <v>6002000</v>
      </c>
      <c r="T21" s="40">
        <v>5913629</v>
      </c>
      <c r="U21" s="22">
        <f>98.5</f>
        <v>98.5</v>
      </c>
    </row>
    <row r="22" spans="1:21" ht="133.5" customHeight="1" x14ac:dyDescent="0.2">
      <c r="A22" s="16"/>
      <c r="B22" s="20" t="s">
        <v>49</v>
      </c>
      <c r="C22" s="65" t="s">
        <v>49</v>
      </c>
      <c r="D22" s="65"/>
      <c r="E22" s="65"/>
      <c r="F22" s="65"/>
      <c r="G22" s="65"/>
      <c r="H22" s="65"/>
      <c r="I22" s="65" t="s">
        <v>553</v>
      </c>
      <c r="J22" s="65"/>
      <c r="K22" s="65"/>
      <c r="L22" s="66" t="s">
        <v>554</v>
      </c>
      <c r="M22" s="66"/>
      <c r="N22" s="66"/>
      <c r="O22" s="66"/>
      <c r="P22" s="21" t="s">
        <v>48</v>
      </c>
      <c r="Q22" s="21" t="s">
        <v>497</v>
      </c>
      <c r="R22" s="21" t="s">
        <v>80</v>
      </c>
      <c r="S22" s="21">
        <v>34</v>
      </c>
      <c r="T22" s="21">
        <v>35.64</v>
      </c>
      <c r="U22" s="22">
        <f>104.8</f>
        <v>104.8</v>
      </c>
    </row>
    <row r="23" spans="1:21" ht="133.5" customHeight="1" x14ac:dyDescent="0.2">
      <c r="A23" s="16"/>
      <c r="B23" s="20" t="s">
        <v>49</v>
      </c>
      <c r="C23" s="65" t="s">
        <v>49</v>
      </c>
      <c r="D23" s="65"/>
      <c r="E23" s="65"/>
      <c r="F23" s="65"/>
      <c r="G23" s="65"/>
      <c r="H23" s="65"/>
      <c r="I23" s="65" t="s">
        <v>555</v>
      </c>
      <c r="J23" s="65"/>
      <c r="K23" s="65"/>
      <c r="L23" s="66" t="s">
        <v>556</v>
      </c>
      <c r="M23" s="66"/>
      <c r="N23" s="66"/>
      <c r="O23" s="66"/>
      <c r="P23" s="21" t="s">
        <v>48</v>
      </c>
      <c r="Q23" s="21" t="s">
        <v>497</v>
      </c>
      <c r="R23" s="21" t="s">
        <v>80</v>
      </c>
      <c r="S23" s="21">
        <v>98</v>
      </c>
      <c r="T23" s="21">
        <v>99.59</v>
      </c>
      <c r="U23" s="22">
        <f>101.6</f>
        <v>101.6</v>
      </c>
    </row>
    <row r="24" spans="1:21" ht="133.5" customHeight="1" x14ac:dyDescent="0.2">
      <c r="A24" s="16"/>
      <c r="B24" s="20" t="s">
        <v>49</v>
      </c>
      <c r="C24" s="65" t="s">
        <v>557</v>
      </c>
      <c r="D24" s="65"/>
      <c r="E24" s="65"/>
      <c r="F24" s="65"/>
      <c r="G24" s="65"/>
      <c r="H24" s="65"/>
      <c r="I24" s="65" t="s">
        <v>558</v>
      </c>
      <c r="J24" s="65"/>
      <c r="K24" s="65"/>
      <c r="L24" s="66" t="s">
        <v>559</v>
      </c>
      <c r="M24" s="66"/>
      <c r="N24" s="66"/>
      <c r="O24" s="66"/>
      <c r="P24" s="21" t="s">
        <v>48</v>
      </c>
      <c r="Q24" s="21" t="s">
        <v>549</v>
      </c>
      <c r="R24" s="21">
        <v>95</v>
      </c>
      <c r="S24" s="21">
        <v>95</v>
      </c>
      <c r="T24" s="21">
        <v>96.97</v>
      </c>
      <c r="U24" s="22">
        <f>102.1</f>
        <v>102.1</v>
      </c>
    </row>
    <row r="25" spans="1:21" ht="133.5" customHeight="1" x14ac:dyDescent="0.2">
      <c r="A25" s="16"/>
      <c r="B25" s="20" t="s">
        <v>49</v>
      </c>
      <c r="C25" s="65" t="s">
        <v>49</v>
      </c>
      <c r="D25" s="65"/>
      <c r="E25" s="65"/>
      <c r="F25" s="65"/>
      <c r="G25" s="65"/>
      <c r="H25" s="65"/>
      <c r="I25" s="65" t="s">
        <v>560</v>
      </c>
      <c r="J25" s="65"/>
      <c r="K25" s="65"/>
      <c r="L25" s="66" t="s">
        <v>561</v>
      </c>
      <c r="M25" s="66"/>
      <c r="N25" s="66"/>
      <c r="O25" s="66"/>
      <c r="P25" s="21" t="s">
        <v>48</v>
      </c>
      <c r="Q25" s="21" t="s">
        <v>549</v>
      </c>
      <c r="R25" s="21">
        <v>95</v>
      </c>
      <c r="S25" s="21">
        <v>95</v>
      </c>
      <c r="T25" s="21">
        <v>97.34</v>
      </c>
      <c r="U25" s="22">
        <f>102.5</f>
        <v>102.5</v>
      </c>
    </row>
    <row r="26" spans="1:21" ht="133.5" customHeight="1" x14ac:dyDescent="0.2">
      <c r="A26" s="16"/>
      <c r="B26" s="20" t="s">
        <v>49</v>
      </c>
      <c r="C26" s="65" t="s">
        <v>49</v>
      </c>
      <c r="D26" s="65"/>
      <c r="E26" s="65"/>
      <c r="F26" s="65"/>
      <c r="G26" s="65"/>
      <c r="H26" s="65"/>
      <c r="I26" s="65" t="s">
        <v>562</v>
      </c>
      <c r="J26" s="65"/>
      <c r="K26" s="65"/>
      <c r="L26" s="66" t="s">
        <v>563</v>
      </c>
      <c r="M26" s="66"/>
      <c r="N26" s="66"/>
      <c r="O26" s="66"/>
      <c r="P26" s="21" t="s">
        <v>48</v>
      </c>
      <c r="Q26" s="21" t="s">
        <v>549</v>
      </c>
      <c r="R26" s="21">
        <v>90</v>
      </c>
      <c r="S26" s="21">
        <v>90</v>
      </c>
      <c r="T26" s="21">
        <v>90.51</v>
      </c>
      <c r="U26" s="22">
        <f>100.6</f>
        <v>100.6</v>
      </c>
    </row>
    <row r="27" spans="1:21" ht="133.5" customHeight="1" x14ac:dyDescent="0.2">
      <c r="A27" s="16"/>
      <c r="B27" s="20" t="s">
        <v>49</v>
      </c>
      <c r="C27" s="65" t="s">
        <v>49</v>
      </c>
      <c r="D27" s="65"/>
      <c r="E27" s="65"/>
      <c r="F27" s="65"/>
      <c r="G27" s="65"/>
      <c r="H27" s="65"/>
      <c r="I27" s="65" t="s">
        <v>564</v>
      </c>
      <c r="J27" s="65"/>
      <c r="K27" s="65"/>
      <c r="L27" s="66" t="s">
        <v>565</v>
      </c>
      <c r="M27" s="66"/>
      <c r="N27" s="66"/>
      <c r="O27" s="66"/>
      <c r="P27" s="21" t="s">
        <v>48</v>
      </c>
      <c r="Q27" s="21" t="s">
        <v>549</v>
      </c>
      <c r="R27" s="21" t="s">
        <v>80</v>
      </c>
      <c r="S27" s="21">
        <v>90</v>
      </c>
      <c r="T27" s="21">
        <v>85.8</v>
      </c>
      <c r="U27" s="22">
        <f>95.3</f>
        <v>95.3</v>
      </c>
    </row>
    <row r="28" spans="1:21" ht="133.5" customHeight="1" x14ac:dyDescent="0.2">
      <c r="A28" s="16"/>
      <c r="B28" s="20" t="s">
        <v>49</v>
      </c>
      <c r="C28" s="65" t="s">
        <v>49</v>
      </c>
      <c r="D28" s="65"/>
      <c r="E28" s="65"/>
      <c r="F28" s="65"/>
      <c r="G28" s="65"/>
      <c r="H28" s="65"/>
      <c r="I28" s="65" t="s">
        <v>566</v>
      </c>
      <c r="J28" s="65"/>
      <c r="K28" s="65"/>
      <c r="L28" s="66" t="s">
        <v>567</v>
      </c>
      <c r="M28" s="66"/>
      <c r="N28" s="66"/>
      <c r="O28" s="66"/>
      <c r="P28" s="21" t="s">
        <v>48</v>
      </c>
      <c r="Q28" s="21" t="s">
        <v>549</v>
      </c>
      <c r="R28" s="21" t="s">
        <v>80</v>
      </c>
      <c r="S28" s="21">
        <v>85</v>
      </c>
      <c r="T28" s="21">
        <v>82.24</v>
      </c>
      <c r="U28" s="22">
        <f>96.7</f>
        <v>96.7</v>
      </c>
    </row>
    <row r="29" spans="1:21" ht="133.5" customHeight="1" x14ac:dyDescent="0.2">
      <c r="A29" s="16"/>
      <c r="B29" s="20" t="s">
        <v>49</v>
      </c>
      <c r="C29" s="65" t="s">
        <v>49</v>
      </c>
      <c r="D29" s="65"/>
      <c r="E29" s="65"/>
      <c r="F29" s="65"/>
      <c r="G29" s="65"/>
      <c r="H29" s="65"/>
      <c r="I29" s="65" t="s">
        <v>568</v>
      </c>
      <c r="J29" s="65"/>
      <c r="K29" s="65"/>
      <c r="L29" s="66" t="s">
        <v>569</v>
      </c>
      <c r="M29" s="66"/>
      <c r="N29" s="66"/>
      <c r="O29" s="66"/>
      <c r="P29" s="21" t="s">
        <v>48</v>
      </c>
      <c r="Q29" s="21" t="s">
        <v>549</v>
      </c>
      <c r="R29" s="21">
        <v>95</v>
      </c>
      <c r="S29" s="21">
        <v>95</v>
      </c>
      <c r="T29" s="21">
        <v>98.38</v>
      </c>
      <c r="U29" s="22">
        <f>103.6</f>
        <v>103.6</v>
      </c>
    </row>
    <row r="30" spans="1:21" ht="133.5" customHeight="1" thickBot="1" x14ac:dyDescent="0.25">
      <c r="A30" s="16"/>
      <c r="B30" s="20" t="s">
        <v>49</v>
      </c>
      <c r="C30" s="65" t="s">
        <v>570</v>
      </c>
      <c r="D30" s="65"/>
      <c r="E30" s="65"/>
      <c r="F30" s="65"/>
      <c r="G30" s="65"/>
      <c r="H30" s="65"/>
      <c r="I30" s="65" t="s">
        <v>571</v>
      </c>
      <c r="J30" s="65"/>
      <c r="K30" s="65"/>
      <c r="L30" s="66" t="s">
        <v>572</v>
      </c>
      <c r="M30" s="66"/>
      <c r="N30" s="66"/>
      <c r="O30" s="66"/>
      <c r="P30" s="21" t="s">
        <v>48</v>
      </c>
      <c r="Q30" s="21" t="s">
        <v>549</v>
      </c>
      <c r="R30" s="21">
        <v>97</v>
      </c>
      <c r="S30" s="21">
        <v>95</v>
      </c>
      <c r="T30" s="21">
        <v>96.63</v>
      </c>
      <c r="U30" s="22">
        <f>101.7</f>
        <v>101.7</v>
      </c>
    </row>
    <row r="31" spans="1:21" ht="133.5" customHeight="1" thickTop="1" x14ac:dyDescent="0.2">
      <c r="A31" s="16"/>
      <c r="B31" s="17" t="s">
        <v>44</v>
      </c>
      <c r="C31" s="74" t="s">
        <v>573</v>
      </c>
      <c r="D31" s="74"/>
      <c r="E31" s="74"/>
      <c r="F31" s="74"/>
      <c r="G31" s="74"/>
      <c r="H31" s="74"/>
      <c r="I31" s="74" t="s">
        <v>574</v>
      </c>
      <c r="J31" s="74"/>
      <c r="K31" s="74"/>
      <c r="L31" s="75" t="s">
        <v>575</v>
      </c>
      <c r="M31" s="75"/>
      <c r="N31" s="75"/>
      <c r="O31" s="75"/>
      <c r="P31" s="18" t="s">
        <v>48</v>
      </c>
      <c r="Q31" s="18" t="s">
        <v>57</v>
      </c>
      <c r="R31" s="18">
        <v>95</v>
      </c>
      <c r="S31" s="18">
        <v>95</v>
      </c>
      <c r="T31" s="18">
        <v>91.7</v>
      </c>
      <c r="U31" s="19">
        <f>96.5</f>
        <v>96.5</v>
      </c>
    </row>
    <row r="32" spans="1:21" ht="133.5" customHeight="1" x14ac:dyDescent="0.2">
      <c r="A32" s="16"/>
      <c r="B32" s="20" t="s">
        <v>49</v>
      </c>
      <c r="C32" s="65" t="s">
        <v>576</v>
      </c>
      <c r="D32" s="65"/>
      <c r="E32" s="65"/>
      <c r="F32" s="65"/>
      <c r="G32" s="65"/>
      <c r="H32" s="65"/>
      <c r="I32" s="65" t="s">
        <v>577</v>
      </c>
      <c r="J32" s="65"/>
      <c r="K32" s="65"/>
      <c r="L32" s="66" t="s">
        <v>578</v>
      </c>
      <c r="M32" s="66"/>
      <c r="N32" s="66"/>
      <c r="O32" s="66"/>
      <c r="P32" s="21" t="s">
        <v>48</v>
      </c>
      <c r="Q32" s="21" t="s">
        <v>91</v>
      </c>
      <c r="R32" s="21">
        <v>100</v>
      </c>
      <c r="S32" s="21">
        <v>96</v>
      </c>
      <c r="T32" s="21">
        <v>100</v>
      </c>
      <c r="U32" s="22">
        <f>104.2</f>
        <v>104.2</v>
      </c>
    </row>
    <row r="33" spans="1:22" ht="133.5" customHeight="1" x14ac:dyDescent="0.2">
      <c r="A33" s="16"/>
      <c r="B33" s="20" t="s">
        <v>49</v>
      </c>
      <c r="C33" s="65" t="s">
        <v>579</v>
      </c>
      <c r="D33" s="65"/>
      <c r="E33" s="65"/>
      <c r="F33" s="65"/>
      <c r="G33" s="65"/>
      <c r="H33" s="65"/>
      <c r="I33" s="65" t="s">
        <v>580</v>
      </c>
      <c r="J33" s="65"/>
      <c r="K33" s="65"/>
      <c r="L33" s="66" t="s">
        <v>581</v>
      </c>
      <c r="M33" s="66"/>
      <c r="N33" s="66"/>
      <c r="O33" s="66"/>
      <c r="P33" s="21" t="s">
        <v>48</v>
      </c>
      <c r="Q33" s="21" t="s">
        <v>582</v>
      </c>
      <c r="R33" s="21">
        <v>100</v>
      </c>
      <c r="S33" s="21">
        <v>96</v>
      </c>
      <c r="T33" s="21">
        <v>100</v>
      </c>
      <c r="U33" s="22">
        <f>104.2</f>
        <v>104.2</v>
      </c>
    </row>
    <row r="34" spans="1:22" ht="133.5" customHeight="1" x14ac:dyDescent="0.2">
      <c r="A34" s="16"/>
      <c r="B34" s="20" t="s">
        <v>49</v>
      </c>
      <c r="C34" s="65" t="s">
        <v>583</v>
      </c>
      <c r="D34" s="65"/>
      <c r="E34" s="65"/>
      <c r="F34" s="65"/>
      <c r="G34" s="65"/>
      <c r="H34" s="65"/>
      <c r="I34" s="65" t="s">
        <v>584</v>
      </c>
      <c r="J34" s="65"/>
      <c r="K34" s="65"/>
      <c r="L34" s="66" t="s">
        <v>585</v>
      </c>
      <c r="M34" s="66"/>
      <c r="N34" s="66"/>
      <c r="O34" s="66"/>
      <c r="P34" s="21" t="s">
        <v>48</v>
      </c>
      <c r="Q34" s="21" t="s">
        <v>586</v>
      </c>
      <c r="R34" s="21">
        <v>22</v>
      </c>
      <c r="S34" s="21">
        <v>22</v>
      </c>
      <c r="T34" s="21">
        <v>28.17</v>
      </c>
      <c r="U34" s="22">
        <f>128</f>
        <v>128</v>
      </c>
    </row>
    <row r="35" spans="1:22" ht="133.5" customHeight="1" x14ac:dyDescent="0.2">
      <c r="A35" s="16"/>
      <c r="B35" s="20" t="s">
        <v>49</v>
      </c>
      <c r="C35" s="65" t="s">
        <v>587</v>
      </c>
      <c r="D35" s="65"/>
      <c r="E35" s="65"/>
      <c r="F35" s="65"/>
      <c r="G35" s="65"/>
      <c r="H35" s="65"/>
      <c r="I35" s="65" t="s">
        <v>588</v>
      </c>
      <c r="J35" s="65"/>
      <c r="K35" s="65"/>
      <c r="L35" s="66" t="s">
        <v>589</v>
      </c>
      <c r="M35" s="66"/>
      <c r="N35" s="66"/>
      <c r="O35" s="66"/>
      <c r="P35" s="21" t="s">
        <v>48</v>
      </c>
      <c r="Q35" s="21" t="s">
        <v>590</v>
      </c>
      <c r="R35" s="21">
        <v>3</v>
      </c>
      <c r="S35" s="21">
        <v>3</v>
      </c>
      <c r="T35" s="21">
        <v>1.75</v>
      </c>
      <c r="U35" s="22">
        <f>141.8</f>
        <v>141.80000000000001</v>
      </c>
    </row>
    <row r="36" spans="1:22" ht="133.5" customHeight="1" x14ac:dyDescent="0.2">
      <c r="A36" s="16"/>
      <c r="B36" s="20" t="s">
        <v>49</v>
      </c>
      <c r="C36" s="65" t="s">
        <v>591</v>
      </c>
      <c r="D36" s="65"/>
      <c r="E36" s="65"/>
      <c r="F36" s="65"/>
      <c r="G36" s="65"/>
      <c r="H36" s="65"/>
      <c r="I36" s="65" t="s">
        <v>592</v>
      </c>
      <c r="J36" s="65"/>
      <c r="K36" s="65"/>
      <c r="L36" s="66" t="s">
        <v>593</v>
      </c>
      <c r="M36" s="66"/>
      <c r="N36" s="66"/>
      <c r="O36" s="66"/>
      <c r="P36" s="21" t="s">
        <v>48</v>
      </c>
      <c r="Q36" s="21" t="s">
        <v>582</v>
      </c>
      <c r="R36" s="21">
        <v>100</v>
      </c>
      <c r="S36" s="21">
        <v>100</v>
      </c>
      <c r="T36" s="21">
        <v>102.11</v>
      </c>
      <c r="U36" s="22">
        <f>102.1</f>
        <v>102.1</v>
      </c>
    </row>
    <row r="37" spans="1:22" ht="106.5" customHeight="1" x14ac:dyDescent="0.2">
      <c r="A37" s="16"/>
      <c r="B37" s="20" t="s">
        <v>49</v>
      </c>
      <c r="C37" s="65" t="s">
        <v>49</v>
      </c>
      <c r="D37" s="65"/>
      <c r="E37" s="65"/>
      <c r="F37" s="65"/>
      <c r="G37" s="65"/>
      <c r="H37" s="65"/>
      <c r="I37" s="65" t="s">
        <v>594</v>
      </c>
      <c r="J37" s="65"/>
      <c r="K37" s="65"/>
      <c r="L37" s="66" t="s">
        <v>595</v>
      </c>
      <c r="M37" s="66"/>
      <c r="N37" s="66"/>
      <c r="O37" s="66"/>
      <c r="P37" s="21" t="s">
        <v>48</v>
      </c>
      <c r="Q37" s="21" t="s">
        <v>582</v>
      </c>
      <c r="R37" s="21">
        <v>95</v>
      </c>
      <c r="S37" s="21">
        <v>96</v>
      </c>
      <c r="T37" s="21">
        <v>96.53</v>
      </c>
      <c r="U37" s="22">
        <f>100.6</f>
        <v>100.6</v>
      </c>
    </row>
    <row r="38" spans="1:22" ht="106.5" customHeight="1" x14ac:dyDescent="0.2">
      <c r="A38" s="16"/>
      <c r="B38" s="20" t="s">
        <v>49</v>
      </c>
      <c r="C38" s="65" t="s">
        <v>49</v>
      </c>
      <c r="D38" s="65"/>
      <c r="E38" s="65"/>
      <c r="F38" s="65"/>
      <c r="G38" s="65"/>
      <c r="H38" s="65"/>
      <c r="I38" s="65" t="s">
        <v>596</v>
      </c>
      <c r="J38" s="65"/>
      <c r="K38" s="65"/>
      <c r="L38" s="66" t="s">
        <v>597</v>
      </c>
      <c r="M38" s="66"/>
      <c r="N38" s="66"/>
      <c r="O38" s="66"/>
      <c r="P38" s="21" t="s">
        <v>598</v>
      </c>
      <c r="Q38" s="21" t="s">
        <v>91</v>
      </c>
      <c r="R38" s="40">
        <v>5800000</v>
      </c>
      <c r="S38" s="40">
        <v>5800000</v>
      </c>
      <c r="T38" s="40">
        <v>5922246</v>
      </c>
      <c r="U38" s="22">
        <f>102.1</f>
        <v>102.1</v>
      </c>
    </row>
    <row r="39" spans="1:22" ht="106.5" customHeight="1" x14ac:dyDescent="0.2">
      <c r="A39" s="16"/>
      <c r="B39" s="20" t="s">
        <v>49</v>
      </c>
      <c r="C39" s="65" t="s">
        <v>599</v>
      </c>
      <c r="D39" s="65"/>
      <c r="E39" s="65"/>
      <c r="F39" s="65"/>
      <c r="G39" s="65"/>
      <c r="H39" s="65"/>
      <c r="I39" s="65" t="s">
        <v>600</v>
      </c>
      <c r="J39" s="65"/>
      <c r="K39" s="65"/>
      <c r="L39" s="66" t="s">
        <v>601</v>
      </c>
      <c r="M39" s="66"/>
      <c r="N39" s="66"/>
      <c r="O39" s="66"/>
      <c r="P39" s="21" t="s">
        <v>48</v>
      </c>
      <c r="Q39" s="21" t="s">
        <v>582</v>
      </c>
      <c r="R39" s="21">
        <v>40</v>
      </c>
      <c r="S39" s="21">
        <v>40</v>
      </c>
      <c r="T39" s="21">
        <v>47.54</v>
      </c>
      <c r="U39" s="22">
        <f>118.8</f>
        <v>118.8</v>
      </c>
    </row>
    <row r="40" spans="1:22" ht="106.5" customHeight="1" x14ac:dyDescent="0.2">
      <c r="A40" s="16"/>
      <c r="B40" s="20" t="s">
        <v>49</v>
      </c>
      <c r="C40" s="65" t="s">
        <v>49</v>
      </c>
      <c r="D40" s="65"/>
      <c r="E40" s="65"/>
      <c r="F40" s="65"/>
      <c r="G40" s="65"/>
      <c r="H40" s="65"/>
      <c r="I40" s="65" t="s">
        <v>602</v>
      </c>
      <c r="J40" s="65"/>
      <c r="K40" s="65"/>
      <c r="L40" s="66" t="s">
        <v>603</v>
      </c>
      <c r="M40" s="66"/>
      <c r="N40" s="66"/>
      <c r="O40" s="66"/>
      <c r="P40" s="21" t="s">
        <v>48</v>
      </c>
      <c r="Q40" s="21" t="s">
        <v>604</v>
      </c>
      <c r="R40" s="21" t="s">
        <v>80</v>
      </c>
      <c r="S40" s="21">
        <v>80.180000000000007</v>
      </c>
      <c r="T40" s="21">
        <v>90.22</v>
      </c>
      <c r="U40" s="22">
        <f>112.5</f>
        <v>112.5</v>
      </c>
    </row>
    <row r="41" spans="1:22" ht="106.5" customHeight="1" x14ac:dyDescent="0.2">
      <c r="A41" s="16"/>
      <c r="B41" s="20" t="s">
        <v>49</v>
      </c>
      <c r="C41" s="65" t="s">
        <v>605</v>
      </c>
      <c r="D41" s="65"/>
      <c r="E41" s="65"/>
      <c r="F41" s="65"/>
      <c r="G41" s="65"/>
      <c r="H41" s="65"/>
      <c r="I41" s="65" t="s">
        <v>606</v>
      </c>
      <c r="J41" s="65"/>
      <c r="K41" s="65"/>
      <c r="L41" s="66" t="s">
        <v>607</v>
      </c>
      <c r="M41" s="66"/>
      <c r="N41" s="66"/>
      <c r="O41" s="66"/>
      <c r="P41" s="21" t="s">
        <v>48</v>
      </c>
      <c r="Q41" s="21" t="s">
        <v>57</v>
      </c>
      <c r="R41" s="21">
        <v>95</v>
      </c>
      <c r="S41" s="21">
        <v>96</v>
      </c>
      <c r="T41" s="21">
        <v>95.09</v>
      </c>
      <c r="U41" s="22">
        <f>99.1</f>
        <v>99.1</v>
      </c>
    </row>
    <row r="42" spans="1:22" ht="133.5" customHeight="1" x14ac:dyDescent="0.2">
      <c r="A42" s="16"/>
      <c r="B42" s="20" t="s">
        <v>49</v>
      </c>
      <c r="C42" s="65" t="s">
        <v>608</v>
      </c>
      <c r="D42" s="65"/>
      <c r="E42" s="65"/>
      <c r="F42" s="65"/>
      <c r="G42" s="65"/>
      <c r="H42" s="65"/>
      <c r="I42" s="65" t="s">
        <v>609</v>
      </c>
      <c r="J42" s="65"/>
      <c r="K42" s="65"/>
      <c r="L42" s="66" t="s">
        <v>610</v>
      </c>
      <c r="M42" s="66"/>
      <c r="N42" s="66"/>
      <c r="O42" s="66"/>
      <c r="P42" s="21" t="s">
        <v>611</v>
      </c>
      <c r="Q42" s="21" t="s">
        <v>582</v>
      </c>
      <c r="R42" s="21">
        <v>11</v>
      </c>
      <c r="S42" s="21">
        <v>1</v>
      </c>
      <c r="T42" s="21">
        <v>0.99</v>
      </c>
      <c r="U42" s="22">
        <f>99.4</f>
        <v>99.4</v>
      </c>
    </row>
    <row r="43" spans="1:22" ht="93.75" customHeight="1" x14ac:dyDescent="0.2">
      <c r="A43" s="16"/>
      <c r="B43" s="20" t="s">
        <v>49</v>
      </c>
      <c r="C43" s="65" t="s">
        <v>49</v>
      </c>
      <c r="D43" s="65"/>
      <c r="E43" s="65"/>
      <c r="F43" s="65"/>
      <c r="G43" s="65"/>
      <c r="H43" s="65"/>
      <c r="I43" s="65" t="s">
        <v>612</v>
      </c>
      <c r="J43" s="65"/>
      <c r="K43" s="65"/>
      <c r="L43" s="66" t="s">
        <v>613</v>
      </c>
      <c r="M43" s="66"/>
      <c r="N43" s="66"/>
      <c r="O43" s="66"/>
      <c r="P43" s="21" t="s">
        <v>611</v>
      </c>
      <c r="Q43" s="21" t="s">
        <v>614</v>
      </c>
      <c r="R43" s="21">
        <v>9</v>
      </c>
      <c r="S43" s="21">
        <v>1</v>
      </c>
      <c r="T43" s="21">
        <v>0.99</v>
      </c>
      <c r="U43" s="22">
        <f>99.3</f>
        <v>99.3</v>
      </c>
    </row>
    <row r="44" spans="1:22" ht="96" customHeight="1" thickBot="1" x14ac:dyDescent="0.25">
      <c r="A44" s="16"/>
      <c r="B44" s="20" t="s">
        <v>49</v>
      </c>
      <c r="C44" s="65" t="s">
        <v>615</v>
      </c>
      <c r="D44" s="65"/>
      <c r="E44" s="65"/>
      <c r="F44" s="65"/>
      <c r="G44" s="65"/>
      <c r="H44" s="65"/>
      <c r="I44" s="65" t="s">
        <v>616</v>
      </c>
      <c r="J44" s="65"/>
      <c r="K44" s="65"/>
      <c r="L44" s="66" t="s">
        <v>617</v>
      </c>
      <c r="M44" s="66"/>
      <c r="N44" s="66"/>
      <c r="O44" s="66"/>
      <c r="P44" s="21" t="s">
        <v>48</v>
      </c>
      <c r="Q44" s="21" t="s">
        <v>582</v>
      </c>
      <c r="R44" s="21">
        <v>96</v>
      </c>
      <c r="S44" s="21">
        <v>96</v>
      </c>
      <c r="T44" s="21">
        <v>96.39</v>
      </c>
      <c r="U44" s="22">
        <f>100.4</f>
        <v>100.4</v>
      </c>
    </row>
    <row r="45" spans="1:22" ht="14.25" customHeight="1" thickTop="1" thickBot="1" x14ac:dyDescent="0.25">
      <c r="B45" s="4" t="s">
        <v>58</v>
      </c>
      <c r="C45" s="5"/>
      <c r="D45" s="5"/>
      <c r="E45" s="5"/>
      <c r="F45" s="5"/>
      <c r="G45" s="5"/>
      <c r="H45" s="6"/>
      <c r="I45" s="6"/>
      <c r="J45" s="6"/>
      <c r="K45" s="6"/>
      <c r="L45" s="6"/>
      <c r="M45" s="6"/>
      <c r="N45" s="6"/>
      <c r="O45" s="6"/>
      <c r="P45" s="6"/>
      <c r="Q45" s="6"/>
      <c r="R45" s="6"/>
      <c r="S45" s="6"/>
      <c r="T45" s="6"/>
      <c r="U45" s="7"/>
      <c r="V45" s="23"/>
    </row>
    <row r="46" spans="1:22" ht="26.25" customHeight="1" thickTop="1" x14ac:dyDescent="0.2">
      <c r="B46" s="24"/>
      <c r="C46" s="25"/>
      <c r="D46" s="25"/>
      <c r="E46" s="25"/>
      <c r="F46" s="25"/>
      <c r="G46" s="25"/>
      <c r="H46" s="26"/>
      <c r="I46" s="26"/>
      <c r="J46" s="26"/>
      <c r="K46" s="26"/>
      <c r="L46" s="26"/>
      <c r="M46" s="26"/>
      <c r="N46" s="26"/>
      <c r="O46" s="26"/>
      <c r="P46" s="26"/>
      <c r="Q46" s="26"/>
      <c r="R46" s="27"/>
      <c r="S46" s="28" t="s">
        <v>33</v>
      </c>
      <c r="T46" s="28" t="s">
        <v>59</v>
      </c>
      <c r="U46" s="13" t="s">
        <v>60</v>
      </c>
    </row>
    <row r="47" spans="1:22" ht="33.75" customHeight="1" thickBot="1" x14ac:dyDescent="0.25">
      <c r="B47" s="29"/>
      <c r="C47" s="30"/>
      <c r="D47" s="30"/>
      <c r="E47" s="30"/>
      <c r="F47" s="30"/>
      <c r="G47" s="30"/>
      <c r="H47" s="31"/>
      <c r="I47" s="31"/>
      <c r="J47" s="31"/>
      <c r="K47" s="31"/>
      <c r="L47" s="31"/>
      <c r="M47" s="31"/>
      <c r="N47" s="31"/>
      <c r="O47" s="31"/>
      <c r="P47" s="31"/>
      <c r="Q47" s="31"/>
      <c r="R47" s="31"/>
      <c r="S47" s="32" t="s">
        <v>61</v>
      </c>
      <c r="T47" s="33" t="s">
        <v>61</v>
      </c>
      <c r="U47" s="33" t="s">
        <v>62</v>
      </c>
    </row>
    <row r="48" spans="1:22" ht="19.5" customHeight="1" thickBot="1" x14ac:dyDescent="0.25">
      <c r="B48" s="67" t="s">
        <v>63</v>
      </c>
      <c r="C48" s="68"/>
      <c r="D48" s="68"/>
      <c r="E48" s="34"/>
      <c r="F48" s="34"/>
      <c r="G48" s="34"/>
      <c r="H48" s="35"/>
      <c r="I48" s="35"/>
      <c r="J48" s="35"/>
      <c r="K48" s="35"/>
      <c r="L48" s="35"/>
      <c r="M48" s="35"/>
      <c r="N48" s="35"/>
      <c r="O48" s="35"/>
      <c r="P48" s="36"/>
      <c r="Q48" s="36"/>
      <c r="R48" s="36"/>
      <c r="S48" s="53">
        <v>36177.676847000002</v>
      </c>
      <c r="T48" s="53">
        <v>34613.378591830005</v>
      </c>
      <c r="U48" s="54">
        <f>+IF(ISERR(T48/S48*100),"N/A",ROUND(T48/S48*100,1))</f>
        <v>95.7</v>
      </c>
    </row>
    <row r="49" spans="2:21" ht="19.5" customHeight="1" thickBot="1" x14ac:dyDescent="0.25">
      <c r="B49" s="69" t="s">
        <v>64</v>
      </c>
      <c r="C49" s="70"/>
      <c r="D49" s="70"/>
      <c r="E49" s="37"/>
      <c r="F49" s="37"/>
      <c r="G49" s="37"/>
      <c r="H49" s="38"/>
      <c r="I49" s="38"/>
      <c r="J49" s="38"/>
      <c r="K49" s="38"/>
      <c r="L49" s="38"/>
      <c r="M49" s="38"/>
      <c r="N49" s="38"/>
      <c r="O49" s="38"/>
      <c r="P49" s="39"/>
      <c r="Q49" s="39"/>
      <c r="R49" s="39"/>
      <c r="S49" s="53">
        <v>34613.378591830005</v>
      </c>
      <c r="T49" s="53">
        <v>34613.378591830005</v>
      </c>
      <c r="U49" s="54">
        <f>+IF(ISERR(T49/S49*100),"N/A",ROUND(T49/S49*100,1))</f>
        <v>100</v>
      </c>
    </row>
    <row r="50" spans="2:21" ht="14.85" customHeight="1" thickTop="1" thickBot="1" x14ac:dyDescent="0.25">
      <c r="B50" s="4" t="s">
        <v>65</v>
      </c>
      <c r="C50" s="5"/>
      <c r="D50" s="5"/>
      <c r="E50" s="5"/>
      <c r="F50" s="5"/>
      <c r="G50" s="5"/>
      <c r="H50" s="6"/>
      <c r="I50" s="6"/>
      <c r="J50" s="6"/>
      <c r="K50" s="6"/>
      <c r="L50" s="6"/>
      <c r="M50" s="6"/>
      <c r="N50" s="6"/>
      <c r="O50" s="6"/>
      <c r="P50" s="6"/>
      <c r="Q50" s="6"/>
      <c r="R50" s="6"/>
      <c r="S50" s="6"/>
      <c r="T50" s="6"/>
      <c r="U50" s="7"/>
    </row>
    <row r="51" spans="2:21" ht="44.25" customHeight="1" thickTop="1" x14ac:dyDescent="0.2">
      <c r="B51" s="71" t="s">
        <v>66</v>
      </c>
      <c r="C51" s="72"/>
      <c r="D51" s="72"/>
      <c r="E51" s="72"/>
      <c r="F51" s="72"/>
      <c r="G51" s="72"/>
      <c r="H51" s="72"/>
      <c r="I51" s="72"/>
      <c r="J51" s="72"/>
      <c r="K51" s="72"/>
      <c r="L51" s="72"/>
      <c r="M51" s="72"/>
      <c r="N51" s="72"/>
      <c r="O51" s="72"/>
      <c r="P51" s="72"/>
      <c r="Q51" s="72"/>
      <c r="R51" s="72"/>
      <c r="S51" s="72"/>
      <c r="T51" s="72"/>
      <c r="U51" s="73"/>
    </row>
    <row r="52" spans="2:21" ht="87.75" customHeight="1" x14ac:dyDescent="0.2">
      <c r="B52" s="59" t="s">
        <v>618</v>
      </c>
      <c r="C52" s="60"/>
      <c r="D52" s="60"/>
      <c r="E52" s="60"/>
      <c r="F52" s="60"/>
      <c r="G52" s="60"/>
      <c r="H52" s="60"/>
      <c r="I52" s="60"/>
      <c r="J52" s="60"/>
      <c r="K52" s="60"/>
      <c r="L52" s="60"/>
      <c r="M52" s="60"/>
      <c r="N52" s="60"/>
      <c r="O52" s="60"/>
      <c r="P52" s="60"/>
      <c r="Q52" s="60"/>
      <c r="R52" s="60"/>
      <c r="S52" s="60"/>
      <c r="T52" s="60"/>
      <c r="U52" s="61"/>
    </row>
    <row r="53" spans="2:21" ht="94.5" customHeight="1" x14ac:dyDescent="0.2">
      <c r="B53" s="59" t="s">
        <v>619</v>
      </c>
      <c r="C53" s="60"/>
      <c r="D53" s="60"/>
      <c r="E53" s="60"/>
      <c r="F53" s="60"/>
      <c r="G53" s="60"/>
      <c r="H53" s="60"/>
      <c r="I53" s="60"/>
      <c r="J53" s="60"/>
      <c r="K53" s="60"/>
      <c r="L53" s="60"/>
      <c r="M53" s="60"/>
      <c r="N53" s="60"/>
      <c r="O53" s="60"/>
      <c r="P53" s="60"/>
      <c r="Q53" s="60"/>
      <c r="R53" s="60"/>
      <c r="S53" s="60"/>
      <c r="T53" s="60"/>
      <c r="U53" s="61"/>
    </row>
    <row r="54" spans="2:21" ht="87" customHeight="1" x14ac:dyDescent="0.2">
      <c r="B54" s="59" t="s">
        <v>620</v>
      </c>
      <c r="C54" s="60"/>
      <c r="D54" s="60"/>
      <c r="E54" s="60"/>
      <c r="F54" s="60"/>
      <c r="G54" s="60"/>
      <c r="H54" s="60"/>
      <c r="I54" s="60"/>
      <c r="J54" s="60"/>
      <c r="K54" s="60"/>
      <c r="L54" s="60"/>
      <c r="M54" s="60"/>
      <c r="N54" s="60"/>
      <c r="O54" s="60"/>
      <c r="P54" s="60"/>
      <c r="Q54" s="60"/>
      <c r="R54" s="60"/>
      <c r="S54" s="60"/>
      <c r="T54" s="60"/>
      <c r="U54" s="61"/>
    </row>
    <row r="55" spans="2:21" ht="80.25" customHeight="1" x14ac:dyDescent="0.2">
      <c r="B55" s="59" t="s">
        <v>621</v>
      </c>
      <c r="C55" s="60"/>
      <c r="D55" s="60"/>
      <c r="E55" s="60"/>
      <c r="F55" s="60"/>
      <c r="G55" s="60"/>
      <c r="H55" s="60"/>
      <c r="I55" s="60"/>
      <c r="J55" s="60"/>
      <c r="K55" s="60"/>
      <c r="L55" s="60"/>
      <c r="M55" s="60"/>
      <c r="N55" s="60"/>
      <c r="O55" s="60"/>
      <c r="P55" s="60"/>
      <c r="Q55" s="60"/>
      <c r="R55" s="60"/>
      <c r="S55" s="60"/>
      <c r="T55" s="60"/>
      <c r="U55" s="61"/>
    </row>
    <row r="56" spans="2:21" ht="66.75" customHeight="1" x14ac:dyDescent="0.2">
      <c r="B56" s="59" t="s">
        <v>622</v>
      </c>
      <c r="C56" s="60"/>
      <c r="D56" s="60"/>
      <c r="E56" s="60"/>
      <c r="F56" s="60"/>
      <c r="G56" s="60"/>
      <c r="H56" s="60"/>
      <c r="I56" s="60"/>
      <c r="J56" s="60"/>
      <c r="K56" s="60"/>
      <c r="L56" s="60"/>
      <c r="M56" s="60"/>
      <c r="N56" s="60"/>
      <c r="O56" s="60"/>
      <c r="P56" s="60"/>
      <c r="Q56" s="60"/>
      <c r="R56" s="60"/>
      <c r="S56" s="60"/>
      <c r="T56" s="60"/>
      <c r="U56" s="61"/>
    </row>
    <row r="57" spans="2:21" ht="55.5" customHeight="1" x14ac:dyDescent="0.2">
      <c r="B57" s="59" t="s">
        <v>623</v>
      </c>
      <c r="C57" s="60"/>
      <c r="D57" s="60"/>
      <c r="E57" s="60"/>
      <c r="F57" s="60"/>
      <c r="G57" s="60"/>
      <c r="H57" s="60"/>
      <c r="I57" s="60"/>
      <c r="J57" s="60"/>
      <c r="K57" s="60"/>
      <c r="L57" s="60"/>
      <c r="M57" s="60"/>
      <c r="N57" s="60"/>
      <c r="O57" s="60"/>
      <c r="P57" s="60"/>
      <c r="Q57" s="60"/>
      <c r="R57" s="60"/>
      <c r="S57" s="60"/>
      <c r="T57" s="60"/>
      <c r="U57" s="61"/>
    </row>
    <row r="58" spans="2:21" ht="55.5" customHeight="1" x14ac:dyDescent="0.2">
      <c r="B58" s="59" t="s">
        <v>624</v>
      </c>
      <c r="C58" s="60"/>
      <c r="D58" s="60"/>
      <c r="E58" s="60"/>
      <c r="F58" s="60"/>
      <c r="G58" s="60"/>
      <c r="H58" s="60"/>
      <c r="I58" s="60"/>
      <c r="J58" s="60"/>
      <c r="K58" s="60"/>
      <c r="L58" s="60"/>
      <c r="M58" s="60"/>
      <c r="N58" s="60"/>
      <c r="O58" s="60"/>
      <c r="P58" s="60"/>
      <c r="Q58" s="60"/>
      <c r="R58" s="60"/>
      <c r="S58" s="60"/>
      <c r="T58" s="60"/>
      <c r="U58" s="61"/>
    </row>
    <row r="59" spans="2:21" ht="55.5" customHeight="1" x14ac:dyDescent="0.2">
      <c r="B59" s="59" t="s">
        <v>625</v>
      </c>
      <c r="C59" s="60"/>
      <c r="D59" s="60"/>
      <c r="E59" s="60"/>
      <c r="F59" s="60"/>
      <c r="G59" s="60"/>
      <c r="H59" s="60"/>
      <c r="I59" s="60"/>
      <c r="J59" s="60"/>
      <c r="K59" s="60"/>
      <c r="L59" s="60"/>
      <c r="M59" s="60"/>
      <c r="N59" s="60"/>
      <c r="O59" s="60"/>
      <c r="P59" s="60"/>
      <c r="Q59" s="60"/>
      <c r="R59" s="60"/>
      <c r="S59" s="60"/>
      <c r="T59" s="60"/>
      <c r="U59" s="61"/>
    </row>
    <row r="60" spans="2:21" ht="55.5" customHeight="1" x14ac:dyDescent="0.2">
      <c r="B60" s="59" t="s">
        <v>626</v>
      </c>
      <c r="C60" s="60"/>
      <c r="D60" s="60"/>
      <c r="E60" s="60"/>
      <c r="F60" s="60"/>
      <c r="G60" s="60"/>
      <c r="H60" s="60"/>
      <c r="I60" s="60"/>
      <c r="J60" s="60"/>
      <c r="K60" s="60"/>
      <c r="L60" s="60"/>
      <c r="M60" s="60"/>
      <c r="N60" s="60"/>
      <c r="O60" s="60"/>
      <c r="P60" s="60"/>
      <c r="Q60" s="60"/>
      <c r="R60" s="60"/>
      <c r="S60" s="60"/>
      <c r="T60" s="60"/>
      <c r="U60" s="61"/>
    </row>
    <row r="61" spans="2:21" ht="55.5" customHeight="1" x14ac:dyDescent="0.2">
      <c r="B61" s="59" t="s">
        <v>627</v>
      </c>
      <c r="C61" s="60"/>
      <c r="D61" s="60"/>
      <c r="E61" s="60"/>
      <c r="F61" s="60"/>
      <c r="G61" s="60"/>
      <c r="H61" s="60"/>
      <c r="I61" s="60"/>
      <c r="J61" s="60"/>
      <c r="K61" s="60"/>
      <c r="L61" s="60"/>
      <c r="M61" s="60"/>
      <c r="N61" s="60"/>
      <c r="O61" s="60"/>
      <c r="P61" s="60"/>
      <c r="Q61" s="60"/>
      <c r="R61" s="60"/>
      <c r="S61" s="60"/>
      <c r="T61" s="60"/>
      <c r="U61" s="61"/>
    </row>
    <row r="62" spans="2:21" ht="69" customHeight="1" x14ac:dyDescent="0.2">
      <c r="B62" s="59" t="s">
        <v>628</v>
      </c>
      <c r="C62" s="60"/>
      <c r="D62" s="60"/>
      <c r="E62" s="60"/>
      <c r="F62" s="60"/>
      <c r="G62" s="60"/>
      <c r="H62" s="60"/>
      <c r="I62" s="60"/>
      <c r="J62" s="60"/>
      <c r="K62" s="60"/>
      <c r="L62" s="60"/>
      <c r="M62" s="60"/>
      <c r="N62" s="60"/>
      <c r="O62" s="60"/>
      <c r="P62" s="60"/>
      <c r="Q62" s="60"/>
      <c r="R62" s="60"/>
      <c r="S62" s="60"/>
      <c r="T62" s="60"/>
      <c r="U62" s="61"/>
    </row>
    <row r="63" spans="2:21" ht="55.5" customHeight="1" x14ac:dyDescent="0.2">
      <c r="B63" s="59" t="s">
        <v>629</v>
      </c>
      <c r="C63" s="60"/>
      <c r="D63" s="60"/>
      <c r="E63" s="60"/>
      <c r="F63" s="60"/>
      <c r="G63" s="60"/>
      <c r="H63" s="60"/>
      <c r="I63" s="60"/>
      <c r="J63" s="60"/>
      <c r="K63" s="60"/>
      <c r="L63" s="60"/>
      <c r="M63" s="60"/>
      <c r="N63" s="60"/>
      <c r="O63" s="60"/>
      <c r="P63" s="60"/>
      <c r="Q63" s="60"/>
      <c r="R63" s="60"/>
      <c r="S63" s="60"/>
      <c r="T63" s="60"/>
      <c r="U63" s="61"/>
    </row>
    <row r="64" spans="2:21" ht="55.5" customHeight="1" x14ac:dyDescent="0.2">
      <c r="B64" s="59" t="s">
        <v>630</v>
      </c>
      <c r="C64" s="60"/>
      <c r="D64" s="60"/>
      <c r="E64" s="60"/>
      <c r="F64" s="60"/>
      <c r="G64" s="60"/>
      <c r="H64" s="60"/>
      <c r="I64" s="60"/>
      <c r="J64" s="60"/>
      <c r="K64" s="60"/>
      <c r="L64" s="60"/>
      <c r="M64" s="60"/>
      <c r="N64" s="60"/>
      <c r="O64" s="60"/>
      <c r="P64" s="60"/>
      <c r="Q64" s="60"/>
      <c r="R64" s="60"/>
      <c r="S64" s="60"/>
      <c r="T64" s="60"/>
      <c r="U64" s="61"/>
    </row>
    <row r="65" spans="2:21" ht="123.2" customHeight="1" x14ac:dyDescent="0.2">
      <c r="B65" s="59" t="s">
        <v>631</v>
      </c>
      <c r="C65" s="60"/>
      <c r="D65" s="60"/>
      <c r="E65" s="60"/>
      <c r="F65" s="60"/>
      <c r="G65" s="60"/>
      <c r="H65" s="60"/>
      <c r="I65" s="60"/>
      <c r="J65" s="60"/>
      <c r="K65" s="60"/>
      <c r="L65" s="60"/>
      <c r="M65" s="60"/>
      <c r="N65" s="60"/>
      <c r="O65" s="60"/>
      <c r="P65" s="60"/>
      <c r="Q65" s="60"/>
      <c r="R65" s="60"/>
      <c r="S65" s="60"/>
      <c r="T65" s="60"/>
      <c r="U65" s="61"/>
    </row>
    <row r="66" spans="2:21" ht="120.95" customHeight="1" x14ac:dyDescent="0.2">
      <c r="B66" s="59" t="s">
        <v>632</v>
      </c>
      <c r="C66" s="60"/>
      <c r="D66" s="60"/>
      <c r="E66" s="60"/>
      <c r="F66" s="60"/>
      <c r="G66" s="60"/>
      <c r="H66" s="60"/>
      <c r="I66" s="60"/>
      <c r="J66" s="60"/>
      <c r="K66" s="60"/>
      <c r="L66" s="60"/>
      <c r="M66" s="60"/>
      <c r="N66" s="60"/>
      <c r="O66" s="60"/>
      <c r="P66" s="60"/>
      <c r="Q66" s="60"/>
      <c r="R66" s="60"/>
      <c r="S66" s="60"/>
      <c r="T66" s="60"/>
      <c r="U66" s="61"/>
    </row>
    <row r="67" spans="2:21" ht="49.5" customHeight="1" x14ac:dyDescent="0.2">
      <c r="B67" s="59" t="s">
        <v>633</v>
      </c>
      <c r="C67" s="60"/>
      <c r="D67" s="60"/>
      <c r="E67" s="60"/>
      <c r="F67" s="60"/>
      <c r="G67" s="60"/>
      <c r="H67" s="60"/>
      <c r="I67" s="60"/>
      <c r="J67" s="60"/>
      <c r="K67" s="60"/>
      <c r="L67" s="60"/>
      <c r="M67" s="60"/>
      <c r="N67" s="60"/>
      <c r="O67" s="60"/>
      <c r="P67" s="60"/>
      <c r="Q67" s="60"/>
      <c r="R67" s="60"/>
      <c r="S67" s="60"/>
      <c r="T67" s="60"/>
      <c r="U67" s="61"/>
    </row>
    <row r="68" spans="2:21" ht="72" customHeight="1" x14ac:dyDescent="0.2">
      <c r="B68" s="59" t="s">
        <v>634</v>
      </c>
      <c r="C68" s="60"/>
      <c r="D68" s="60"/>
      <c r="E68" s="60"/>
      <c r="F68" s="60"/>
      <c r="G68" s="60"/>
      <c r="H68" s="60"/>
      <c r="I68" s="60"/>
      <c r="J68" s="60"/>
      <c r="K68" s="60"/>
      <c r="L68" s="60"/>
      <c r="M68" s="60"/>
      <c r="N68" s="60"/>
      <c r="O68" s="60"/>
      <c r="P68" s="60"/>
      <c r="Q68" s="60"/>
      <c r="R68" s="60"/>
      <c r="S68" s="60"/>
      <c r="T68" s="60"/>
      <c r="U68" s="61"/>
    </row>
    <row r="69" spans="2:21" ht="72" customHeight="1" x14ac:dyDescent="0.2">
      <c r="B69" s="59" t="s">
        <v>635</v>
      </c>
      <c r="C69" s="60"/>
      <c r="D69" s="60"/>
      <c r="E69" s="60"/>
      <c r="F69" s="60"/>
      <c r="G69" s="60"/>
      <c r="H69" s="60"/>
      <c r="I69" s="60"/>
      <c r="J69" s="60"/>
      <c r="K69" s="60"/>
      <c r="L69" s="60"/>
      <c r="M69" s="60"/>
      <c r="N69" s="60"/>
      <c r="O69" s="60"/>
      <c r="P69" s="60"/>
      <c r="Q69" s="60"/>
      <c r="R69" s="60"/>
      <c r="S69" s="60"/>
      <c r="T69" s="60"/>
      <c r="U69" s="61"/>
    </row>
    <row r="70" spans="2:21" ht="72" customHeight="1" x14ac:dyDescent="0.2">
      <c r="B70" s="59" t="s">
        <v>636</v>
      </c>
      <c r="C70" s="60"/>
      <c r="D70" s="60"/>
      <c r="E70" s="60"/>
      <c r="F70" s="60"/>
      <c r="G70" s="60"/>
      <c r="H70" s="60"/>
      <c r="I70" s="60"/>
      <c r="J70" s="60"/>
      <c r="K70" s="60"/>
      <c r="L70" s="60"/>
      <c r="M70" s="60"/>
      <c r="N70" s="60"/>
      <c r="O70" s="60"/>
      <c r="P70" s="60"/>
      <c r="Q70" s="60"/>
      <c r="R70" s="60"/>
      <c r="S70" s="60"/>
      <c r="T70" s="60"/>
      <c r="U70" s="61"/>
    </row>
    <row r="71" spans="2:21" ht="72" customHeight="1" x14ac:dyDescent="0.2">
      <c r="B71" s="59" t="s">
        <v>637</v>
      </c>
      <c r="C71" s="60"/>
      <c r="D71" s="60"/>
      <c r="E71" s="60"/>
      <c r="F71" s="60"/>
      <c r="G71" s="60"/>
      <c r="H71" s="60"/>
      <c r="I71" s="60"/>
      <c r="J71" s="60"/>
      <c r="K71" s="60"/>
      <c r="L71" s="60"/>
      <c r="M71" s="60"/>
      <c r="N71" s="60"/>
      <c r="O71" s="60"/>
      <c r="P71" s="60"/>
      <c r="Q71" s="60"/>
      <c r="R71" s="60"/>
      <c r="S71" s="60"/>
      <c r="T71" s="60"/>
      <c r="U71" s="61"/>
    </row>
    <row r="72" spans="2:21" ht="72" customHeight="1" x14ac:dyDescent="0.2">
      <c r="B72" s="59" t="s">
        <v>638</v>
      </c>
      <c r="C72" s="60"/>
      <c r="D72" s="60"/>
      <c r="E72" s="60"/>
      <c r="F72" s="60"/>
      <c r="G72" s="60"/>
      <c r="H72" s="60"/>
      <c r="I72" s="60"/>
      <c r="J72" s="60"/>
      <c r="K72" s="60"/>
      <c r="L72" s="60"/>
      <c r="M72" s="60"/>
      <c r="N72" s="60"/>
      <c r="O72" s="60"/>
      <c r="P72" s="60"/>
      <c r="Q72" s="60"/>
      <c r="R72" s="60"/>
      <c r="S72" s="60"/>
      <c r="T72" s="60"/>
      <c r="U72" s="61"/>
    </row>
    <row r="73" spans="2:21" ht="72" customHeight="1" x14ac:dyDescent="0.2">
      <c r="B73" s="59" t="s">
        <v>639</v>
      </c>
      <c r="C73" s="60"/>
      <c r="D73" s="60"/>
      <c r="E73" s="60"/>
      <c r="F73" s="60"/>
      <c r="G73" s="60"/>
      <c r="H73" s="60"/>
      <c r="I73" s="60"/>
      <c r="J73" s="60"/>
      <c r="K73" s="60"/>
      <c r="L73" s="60"/>
      <c r="M73" s="60"/>
      <c r="N73" s="60"/>
      <c r="O73" s="60"/>
      <c r="P73" s="60"/>
      <c r="Q73" s="60"/>
      <c r="R73" s="60"/>
      <c r="S73" s="60"/>
      <c r="T73" s="60"/>
      <c r="U73" s="61"/>
    </row>
    <row r="74" spans="2:21" ht="72" customHeight="1" x14ac:dyDescent="0.2">
      <c r="B74" s="59" t="s">
        <v>640</v>
      </c>
      <c r="C74" s="60"/>
      <c r="D74" s="60"/>
      <c r="E74" s="60"/>
      <c r="F74" s="60"/>
      <c r="G74" s="60"/>
      <c r="H74" s="60"/>
      <c r="I74" s="60"/>
      <c r="J74" s="60"/>
      <c r="K74" s="60"/>
      <c r="L74" s="60"/>
      <c r="M74" s="60"/>
      <c r="N74" s="60"/>
      <c r="O74" s="60"/>
      <c r="P74" s="60"/>
      <c r="Q74" s="60"/>
      <c r="R74" s="60"/>
      <c r="S74" s="60"/>
      <c r="T74" s="60"/>
      <c r="U74" s="61"/>
    </row>
    <row r="75" spans="2:21" ht="72" customHeight="1" x14ac:dyDescent="0.2">
      <c r="B75" s="59" t="s">
        <v>641</v>
      </c>
      <c r="C75" s="60"/>
      <c r="D75" s="60"/>
      <c r="E75" s="60"/>
      <c r="F75" s="60"/>
      <c r="G75" s="60"/>
      <c r="H75" s="60"/>
      <c r="I75" s="60"/>
      <c r="J75" s="60"/>
      <c r="K75" s="60"/>
      <c r="L75" s="60"/>
      <c r="M75" s="60"/>
      <c r="N75" s="60"/>
      <c r="O75" s="60"/>
      <c r="P75" s="60"/>
      <c r="Q75" s="60"/>
      <c r="R75" s="60"/>
      <c r="S75" s="60"/>
      <c r="T75" s="60"/>
      <c r="U75" s="61"/>
    </row>
    <row r="76" spans="2:21" ht="72" customHeight="1" x14ac:dyDescent="0.2">
      <c r="B76" s="59" t="s">
        <v>642</v>
      </c>
      <c r="C76" s="60"/>
      <c r="D76" s="60"/>
      <c r="E76" s="60"/>
      <c r="F76" s="60"/>
      <c r="G76" s="60"/>
      <c r="H76" s="60"/>
      <c r="I76" s="60"/>
      <c r="J76" s="60"/>
      <c r="K76" s="60"/>
      <c r="L76" s="60"/>
      <c r="M76" s="60"/>
      <c r="N76" s="60"/>
      <c r="O76" s="60"/>
      <c r="P76" s="60"/>
      <c r="Q76" s="60"/>
      <c r="R76" s="60"/>
      <c r="S76" s="60"/>
      <c r="T76" s="60"/>
      <c r="U76" s="61"/>
    </row>
    <row r="77" spans="2:21" ht="72" customHeight="1" x14ac:dyDescent="0.2">
      <c r="B77" s="59" t="s">
        <v>643</v>
      </c>
      <c r="C77" s="60"/>
      <c r="D77" s="60"/>
      <c r="E77" s="60"/>
      <c r="F77" s="60"/>
      <c r="G77" s="60"/>
      <c r="H77" s="60"/>
      <c r="I77" s="60"/>
      <c r="J77" s="60"/>
      <c r="K77" s="60"/>
      <c r="L77" s="60"/>
      <c r="M77" s="60"/>
      <c r="N77" s="60"/>
      <c r="O77" s="60"/>
      <c r="P77" s="60"/>
      <c r="Q77" s="60"/>
      <c r="R77" s="60"/>
      <c r="S77" s="60"/>
      <c r="T77" s="60"/>
      <c r="U77" s="61"/>
    </row>
    <row r="78" spans="2:21" ht="72" customHeight="1" x14ac:dyDescent="0.2">
      <c r="B78" s="59" t="s">
        <v>644</v>
      </c>
      <c r="C78" s="60"/>
      <c r="D78" s="60"/>
      <c r="E78" s="60"/>
      <c r="F78" s="60"/>
      <c r="G78" s="60"/>
      <c r="H78" s="60"/>
      <c r="I78" s="60"/>
      <c r="J78" s="60"/>
      <c r="K78" s="60"/>
      <c r="L78" s="60"/>
      <c r="M78" s="60"/>
      <c r="N78" s="60"/>
      <c r="O78" s="60"/>
      <c r="P78" s="60"/>
      <c r="Q78" s="60"/>
      <c r="R78" s="60"/>
      <c r="S78" s="60"/>
      <c r="T78" s="60"/>
      <c r="U78" s="61"/>
    </row>
    <row r="79" spans="2:21" ht="72" customHeight="1" x14ac:dyDescent="0.2">
      <c r="B79" s="59" t="s">
        <v>645</v>
      </c>
      <c r="C79" s="60"/>
      <c r="D79" s="60"/>
      <c r="E79" s="60"/>
      <c r="F79" s="60"/>
      <c r="G79" s="60"/>
      <c r="H79" s="60"/>
      <c r="I79" s="60"/>
      <c r="J79" s="60"/>
      <c r="K79" s="60"/>
      <c r="L79" s="60"/>
      <c r="M79" s="60"/>
      <c r="N79" s="60"/>
      <c r="O79" s="60"/>
      <c r="P79" s="60"/>
      <c r="Q79" s="60"/>
      <c r="R79" s="60"/>
      <c r="S79" s="60"/>
      <c r="T79" s="60"/>
      <c r="U79" s="61"/>
    </row>
    <row r="80" spans="2:21" ht="72" customHeight="1" x14ac:dyDescent="0.2">
      <c r="B80" s="59" t="s">
        <v>646</v>
      </c>
      <c r="C80" s="60"/>
      <c r="D80" s="60"/>
      <c r="E80" s="60"/>
      <c r="F80" s="60"/>
      <c r="G80" s="60"/>
      <c r="H80" s="60"/>
      <c r="I80" s="60"/>
      <c r="J80" s="60"/>
      <c r="K80" s="60"/>
      <c r="L80" s="60"/>
      <c r="M80" s="60"/>
      <c r="N80" s="60"/>
      <c r="O80" s="60"/>
      <c r="P80" s="60"/>
      <c r="Q80" s="60"/>
      <c r="R80" s="60"/>
      <c r="S80" s="60"/>
      <c r="T80" s="60"/>
      <c r="U80" s="61"/>
    </row>
    <row r="81" spans="2:21" ht="72" customHeight="1" x14ac:dyDescent="0.2">
      <c r="B81" s="59" t="s">
        <v>647</v>
      </c>
      <c r="C81" s="60"/>
      <c r="D81" s="60"/>
      <c r="E81" s="60"/>
      <c r="F81" s="60"/>
      <c r="G81" s="60"/>
      <c r="H81" s="60"/>
      <c r="I81" s="60"/>
      <c r="J81" s="60"/>
      <c r="K81" s="60"/>
      <c r="L81" s="60"/>
      <c r="M81" s="60"/>
      <c r="N81" s="60"/>
      <c r="O81" s="60"/>
      <c r="P81" s="60"/>
      <c r="Q81" s="60"/>
      <c r="R81" s="60"/>
      <c r="S81" s="60"/>
      <c r="T81" s="60"/>
      <c r="U81" s="61"/>
    </row>
    <row r="82" spans="2:21" ht="72" customHeight="1" thickBot="1" x14ac:dyDescent="0.25">
      <c r="B82" s="62" t="s">
        <v>648</v>
      </c>
      <c r="C82" s="63"/>
      <c r="D82" s="63"/>
      <c r="E82" s="63"/>
      <c r="F82" s="63"/>
      <c r="G82" s="63"/>
      <c r="H82" s="63"/>
      <c r="I82" s="63"/>
      <c r="J82" s="63"/>
      <c r="K82" s="63"/>
      <c r="L82" s="63"/>
      <c r="M82" s="63"/>
      <c r="N82" s="63"/>
      <c r="O82" s="63"/>
      <c r="P82" s="63"/>
      <c r="Q82" s="63"/>
      <c r="R82" s="63"/>
      <c r="S82" s="63"/>
      <c r="T82" s="63"/>
      <c r="U82" s="64"/>
    </row>
  </sheetData>
  <mergeCells count="157">
    <mergeCell ref="B8:B10"/>
    <mergeCell ref="C8:H10"/>
    <mergeCell ref="I8:S8"/>
    <mergeCell ref="T8:U8"/>
    <mergeCell ref="I9:K10"/>
    <mergeCell ref="L9:O10"/>
    <mergeCell ref="B1:L1"/>
    <mergeCell ref="D4:H4"/>
    <mergeCell ref="L4:O4"/>
    <mergeCell ref="Q4:R4"/>
    <mergeCell ref="T4:U4"/>
    <mergeCell ref="B5:U5"/>
    <mergeCell ref="T9:T10"/>
    <mergeCell ref="U9:U10"/>
    <mergeCell ref="C6:G6"/>
    <mergeCell ref="K6:M6"/>
    <mergeCell ref="P6:Q6"/>
    <mergeCell ref="T6:U6"/>
    <mergeCell ref="C13:H13"/>
    <mergeCell ref="I13:K13"/>
    <mergeCell ref="L13:O13"/>
    <mergeCell ref="P9:P10"/>
    <mergeCell ref="Q9:Q10"/>
    <mergeCell ref="R9:S9"/>
    <mergeCell ref="C16:H16"/>
    <mergeCell ref="I16:K16"/>
    <mergeCell ref="L16:O16"/>
    <mergeCell ref="C11:H11"/>
    <mergeCell ref="I11:K11"/>
    <mergeCell ref="L11:O11"/>
    <mergeCell ref="C12:H12"/>
    <mergeCell ref="I12:K12"/>
    <mergeCell ref="L12:O12"/>
    <mergeCell ref="C17:H17"/>
    <mergeCell ref="I17:K17"/>
    <mergeCell ref="L17:O17"/>
    <mergeCell ref="C14:H14"/>
    <mergeCell ref="I14:K14"/>
    <mergeCell ref="L14:O14"/>
    <mergeCell ref="C15:H15"/>
    <mergeCell ref="I15:K15"/>
    <mergeCell ref="L15:O15"/>
    <mergeCell ref="C20:H20"/>
    <mergeCell ref="I20:K20"/>
    <mergeCell ref="L20:O20"/>
    <mergeCell ref="C21:H21"/>
    <mergeCell ref="I21:K21"/>
    <mergeCell ref="L21:O21"/>
    <mergeCell ref="C18:H18"/>
    <mergeCell ref="I18:K18"/>
    <mergeCell ref="L18:O18"/>
    <mergeCell ref="C19:H19"/>
    <mergeCell ref="I19:K19"/>
    <mergeCell ref="L19:O19"/>
    <mergeCell ref="C24:H24"/>
    <mergeCell ref="I24:K24"/>
    <mergeCell ref="L24:O24"/>
    <mergeCell ref="C25:H25"/>
    <mergeCell ref="I25:K25"/>
    <mergeCell ref="L25:O25"/>
    <mergeCell ref="C22:H22"/>
    <mergeCell ref="I22:K22"/>
    <mergeCell ref="L22:O22"/>
    <mergeCell ref="C23:H23"/>
    <mergeCell ref="I23:K23"/>
    <mergeCell ref="L23:O23"/>
    <mergeCell ref="C28:H28"/>
    <mergeCell ref="I28:K28"/>
    <mergeCell ref="L28:O28"/>
    <mergeCell ref="C29:H29"/>
    <mergeCell ref="I29:K29"/>
    <mergeCell ref="L29:O29"/>
    <mergeCell ref="C26:H26"/>
    <mergeCell ref="I26:K26"/>
    <mergeCell ref="L26:O26"/>
    <mergeCell ref="C27:H27"/>
    <mergeCell ref="I27:K27"/>
    <mergeCell ref="L27:O27"/>
    <mergeCell ref="C32:H32"/>
    <mergeCell ref="I32:K32"/>
    <mergeCell ref="L32:O32"/>
    <mergeCell ref="C33:H33"/>
    <mergeCell ref="I33:K33"/>
    <mergeCell ref="L33:O33"/>
    <mergeCell ref="C30:H30"/>
    <mergeCell ref="I30:K30"/>
    <mergeCell ref="L30:O30"/>
    <mergeCell ref="C31:H31"/>
    <mergeCell ref="I31:K31"/>
    <mergeCell ref="L31:O31"/>
    <mergeCell ref="C36:H36"/>
    <mergeCell ref="I36:K36"/>
    <mergeCell ref="L36:O36"/>
    <mergeCell ref="C37:H37"/>
    <mergeCell ref="I37:K37"/>
    <mergeCell ref="L37:O37"/>
    <mergeCell ref="C34:H34"/>
    <mergeCell ref="I34:K34"/>
    <mergeCell ref="L34:O34"/>
    <mergeCell ref="C35:H35"/>
    <mergeCell ref="I35:K35"/>
    <mergeCell ref="L35:O35"/>
    <mergeCell ref="C40:H40"/>
    <mergeCell ref="I40:K40"/>
    <mergeCell ref="L40:O40"/>
    <mergeCell ref="C41:H41"/>
    <mergeCell ref="I41:K41"/>
    <mergeCell ref="L41:O41"/>
    <mergeCell ref="C38:H38"/>
    <mergeCell ref="I38:K38"/>
    <mergeCell ref="L38:O38"/>
    <mergeCell ref="C39:H39"/>
    <mergeCell ref="I39:K39"/>
    <mergeCell ref="L39:O39"/>
    <mergeCell ref="C44:H44"/>
    <mergeCell ref="I44:K44"/>
    <mergeCell ref="L44:O44"/>
    <mergeCell ref="B48:D48"/>
    <mergeCell ref="B49:D49"/>
    <mergeCell ref="B51:U51"/>
    <mergeCell ref="C42:H42"/>
    <mergeCell ref="I42:K42"/>
    <mergeCell ref="L42:O42"/>
    <mergeCell ref="C43:H43"/>
    <mergeCell ref="I43:K43"/>
    <mergeCell ref="L43:O43"/>
    <mergeCell ref="B56:U56"/>
    <mergeCell ref="B57:U57"/>
    <mergeCell ref="B58:U58"/>
    <mergeCell ref="B59:U59"/>
    <mergeCell ref="B60:U60"/>
    <mergeCell ref="B52:U52"/>
    <mergeCell ref="B53:U53"/>
    <mergeCell ref="B54:U54"/>
    <mergeCell ref="B55:U55"/>
    <mergeCell ref="B67:U67"/>
    <mergeCell ref="B68:U68"/>
    <mergeCell ref="B69:U69"/>
    <mergeCell ref="B70:U70"/>
    <mergeCell ref="B71:U71"/>
    <mergeCell ref="B72:U72"/>
    <mergeCell ref="B61:U61"/>
    <mergeCell ref="B62:U62"/>
    <mergeCell ref="B63:U63"/>
    <mergeCell ref="B64:U64"/>
    <mergeCell ref="B65:U65"/>
    <mergeCell ref="B66:U66"/>
    <mergeCell ref="B79:U79"/>
    <mergeCell ref="B80:U80"/>
    <mergeCell ref="B81:U81"/>
    <mergeCell ref="B82:U82"/>
    <mergeCell ref="B73:U73"/>
    <mergeCell ref="B74:U74"/>
    <mergeCell ref="B75:U75"/>
    <mergeCell ref="B76:U76"/>
    <mergeCell ref="B77:U77"/>
    <mergeCell ref="B78:U78"/>
  </mergeCells>
  <printOptions horizontalCentered="1"/>
  <pageMargins left="0.78740157480314965" right="0.78740157480314965" top="0.98425196850393704" bottom="0.98425196850393704" header="0" footer="0.39370078740157483"/>
  <pageSetup scale="47" fitToHeight="10" orientation="landscape" r:id="rId1"/>
  <headerFooter>
    <oddFooter>&amp;R&amp;P de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9"/>
  <sheetViews>
    <sheetView zoomScale="90" zoomScaleNormal="90" zoomScaleSheetLayoutView="80" workbookViewId="0">
      <selection activeCell="W30" sqref="W30"/>
    </sheetView>
  </sheetViews>
  <sheetFormatPr baseColWidth="10" defaultColWidth="10" defaultRowHeight="12.75" x14ac:dyDescent="0.2"/>
  <cols>
    <col min="1" max="1" width="3.5" style="1" customWidth="1"/>
    <col min="2" max="2" width="14.6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8.62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375" style="1" customWidth="1"/>
    <col min="19" max="19" width="13" style="1" customWidth="1"/>
    <col min="20" max="20" width="10.75" style="1" customWidth="1"/>
    <col min="21" max="21" width="12.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5" t="s">
        <v>0</v>
      </c>
      <c r="C1" s="55"/>
      <c r="D1" s="55"/>
      <c r="E1" s="55"/>
      <c r="F1" s="55"/>
      <c r="G1" s="55"/>
      <c r="H1" s="55"/>
      <c r="I1" s="55"/>
      <c r="J1" s="55"/>
      <c r="K1" s="55"/>
      <c r="L1" s="55"/>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42" t="s">
        <v>6</v>
      </c>
      <c r="C4" s="43" t="s">
        <v>649</v>
      </c>
      <c r="D4" s="102" t="s">
        <v>650</v>
      </c>
      <c r="E4" s="102"/>
      <c r="F4" s="102"/>
      <c r="G4" s="102"/>
      <c r="H4" s="102"/>
      <c r="I4" s="44"/>
      <c r="J4" s="45" t="s">
        <v>9</v>
      </c>
      <c r="K4" s="46" t="s">
        <v>10</v>
      </c>
      <c r="L4" s="103" t="s">
        <v>11</v>
      </c>
      <c r="M4" s="103"/>
      <c r="N4" s="103"/>
      <c r="O4" s="103"/>
      <c r="P4" s="45" t="s">
        <v>12</v>
      </c>
      <c r="Q4" s="103" t="s">
        <v>523</v>
      </c>
      <c r="R4" s="103"/>
      <c r="S4" s="45" t="s">
        <v>14</v>
      </c>
      <c r="T4" s="103"/>
      <c r="U4" s="104"/>
    </row>
    <row r="5" spans="1:21" ht="15.75" customHeight="1" x14ac:dyDescent="0.2">
      <c r="B5" s="99" t="s">
        <v>15</v>
      </c>
      <c r="C5" s="100"/>
      <c r="D5" s="100"/>
      <c r="E5" s="100"/>
      <c r="F5" s="100"/>
      <c r="G5" s="100"/>
      <c r="H5" s="100"/>
      <c r="I5" s="100"/>
      <c r="J5" s="100"/>
      <c r="K5" s="100"/>
      <c r="L5" s="100"/>
      <c r="M5" s="100"/>
      <c r="N5" s="100"/>
      <c r="O5" s="100"/>
      <c r="P5" s="100"/>
      <c r="Q5" s="100"/>
      <c r="R5" s="100"/>
      <c r="S5" s="100"/>
      <c r="T5" s="100"/>
      <c r="U5" s="101"/>
    </row>
    <row r="6" spans="1:21" ht="60" customHeight="1" thickBot="1" x14ac:dyDescent="0.25">
      <c r="B6" s="47" t="s">
        <v>16</v>
      </c>
      <c r="C6" s="76" t="s">
        <v>17</v>
      </c>
      <c r="D6" s="76"/>
      <c r="E6" s="76"/>
      <c r="F6" s="76"/>
      <c r="G6" s="76"/>
      <c r="H6" s="48"/>
      <c r="I6" s="48"/>
      <c r="J6" s="48" t="s">
        <v>18</v>
      </c>
      <c r="K6" s="76" t="s">
        <v>19</v>
      </c>
      <c r="L6" s="76"/>
      <c r="M6" s="76"/>
      <c r="N6" s="49"/>
      <c r="O6" s="48" t="s">
        <v>20</v>
      </c>
      <c r="P6" s="76" t="s">
        <v>21</v>
      </c>
      <c r="Q6" s="76"/>
      <c r="R6" s="50"/>
      <c r="S6" s="48" t="s">
        <v>22</v>
      </c>
      <c r="T6" s="76" t="s">
        <v>23</v>
      </c>
      <c r="U6" s="77"/>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8" t="s">
        <v>25</v>
      </c>
      <c r="C8" s="81" t="s">
        <v>26</v>
      </c>
      <c r="D8" s="81"/>
      <c r="E8" s="81"/>
      <c r="F8" s="81"/>
      <c r="G8" s="81"/>
      <c r="H8" s="82"/>
      <c r="I8" s="87" t="s">
        <v>27</v>
      </c>
      <c r="J8" s="88"/>
      <c r="K8" s="88"/>
      <c r="L8" s="88"/>
      <c r="M8" s="88"/>
      <c r="N8" s="88"/>
      <c r="O8" s="88"/>
      <c r="P8" s="88"/>
      <c r="Q8" s="88"/>
      <c r="R8" s="88"/>
      <c r="S8" s="89"/>
      <c r="T8" s="90" t="s">
        <v>28</v>
      </c>
      <c r="U8" s="91"/>
    </row>
    <row r="9" spans="1:21" ht="19.5" customHeight="1" x14ac:dyDescent="0.2">
      <c r="B9" s="79"/>
      <c r="C9" s="83"/>
      <c r="D9" s="83"/>
      <c r="E9" s="83"/>
      <c r="F9" s="83"/>
      <c r="G9" s="83"/>
      <c r="H9" s="84"/>
      <c r="I9" s="92" t="s">
        <v>29</v>
      </c>
      <c r="J9" s="81"/>
      <c r="K9" s="81"/>
      <c r="L9" s="81" t="s">
        <v>30</v>
      </c>
      <c r="M9" s="81"/>
      <c r="N9" s="81"/>
      <c r="O9" s="81"/>
      <c r="P9" s="81" t="s">
        <v>31</v>
      </c>
      <c r="Q9" s="81" t="s">
        <v>32</v>
      </c>
      <c r="R9" s="95" t="s">
        <v>33</v>
      </c>
      <c r="S9" s="96"/>
      <c r="T9" s="81" t="s">
        <v>34</v>
      </c>
      <c r="U9" s="97" t="s">
        <v>35</v>
      </c>
    </row>
    <row r="10" spans="1:21" ht="26.25" customHeight="1" thickBot="1" x14ac:dyDescent="0.25">
      <c r="B10" s="80"/>
      <c r="C10" s="85"/>
      <c r="D10" s="85"/>
      <c r="E10" s="85"/>
      <c r="F10" s="85"/>
      <c r="G10" s="85"/>
      <c r="H10" s="86"/>
      <c r="I10" s="93"/>
      <c r="J10" s="94"/>
      <c r="K10" s="94"/>
      <c r="L10" s="94"/>
      <c r="M10" s="94"/>
      <c r="N10" s="94"/>
      <c r="O10" s="94"/>
      <c r="P10" s="94"/>
      <c r="Q10" s="94"/>
      <c r="R10" s="14" t="s">
        <v>36</v>
      </c>
      <c r="S10" s="15" t="s">
        <v>37</v>
      </c>
      <c r="T10" s="94"/>
      <c r="U10" s="98"/>
    </row>
    <row r="11" spans="1:21" ht="262.5" customHeight="1" thickTop="1" x14ac:dyDescent="0.2">
      <c r="A11" s="16"/>
      <c r="B11" s="17" t="s">
        <v>75</v>
      </c>
      <c r="C11" s="74" t="s">
        <v>651</v>
      </c>
      <c r="D11" s="74"/>
      <c r="E11" s="74"/>
      <c r="F11" s="74"/>
      <c r="G11" s="74"/>
      <c r="H11" s="74"/>
      <c r="I11" s="74" t="s">
        <v>652</v>
      </c>
      <c r="J11" s="74"/>
      <c r="K11" s="74"/>
      <c r="L11" s="74" t="s">
        <v>653</v>
      </c>
      <c r="M11" s="74"/>
      <c r="N11" s="74"/>
      <c r="O11" s="74"/>
      <c r="P11" s="18" t="s">
        <v>48</v>
      </c>
      <c r="Q11" s="18" t="s">
        <v>79</v>
      </c>
      <c r="R11" s="18">
        <v>135.29</v>
      </c>
      <c r="S11" s="18">
        <v>135.29</v>
      </c>
      <c r="T11" s="18" t="s">
        <v>80</v>
      </c>
      <c r="U11" s="51">
        <v>0</v>
      </c>
    </row>
    <row r="12" spans="1:21" ht="96" customHeight="1" thickBot="1" x14ac:dyDescent="0.25">
      <c r="A12" s="16"/>
      <c r="B12" s="20" t="s">
        <v>49</v>
      </c>
      <c r="C12" s="65" t="s">
        <v>49</v>
      </c>
      <c r="D12" s="65"/>
      <c r="E12" s="65"/>
      <c r="F12" s="65"/>
      <c r="G12" s="65"/>
      <c r="H12" s="65"/>
      <c r="I12" s="65" t="s">
        <v>654</v>
      </c>
      <c r="J12" s="65"/>
      <c r="K12" s="65"/>
      <c r="L12" s="65" t="s">
        <v>655</v>
      </c>
      <c r="M12" s="65"/>
      <c r="N12" s="65"/>
      <c r="O12" s="65"/>
      <c r="P12" s="21" t="s">
        <v>656</v>
      </c>
      <c r="Q12" s="21" t="s">
        <v>533</v>
      </c>
      <c r="R12" s="21" t="s">
        <v>80</v>
      </c>
      <c r="S12" s="21" t="s">
        <v>80</v>
      </c>
      <c r="T12" s="21" t="s">
        <v>80</v>
      </c>
      <c r="U12" s="22">
        <v>0</v>
      </c>
    </row>
    <row r="13" spans="1:21" ht="144.75" customHeight="1" thickTop="1" thickBot="1" x14ac:dyDescent="0.25">
      <c r="A13" s="16"/>
      <c r="B13" s="17" t="s">
        <v>81</v>
      </c>
      <c r="C13" s="74" t="s">
        <v>657</v>
      </c>
      <c r="D13" s="74"/>
      <c r="E13" s="74"/>
      <c r="F13" s="74"/>
      <c r="G13" s="74"/>
      <c r="H13" s="74"/>
      <c r="I13" s="74" t="s">
        <v>658</v>
      </c>
      <c r="J13" s="74"/>
      <c r="K13" s="74"/>
      <c r="L13" s="74" t="s">
        <v>659</v>
      </c>
      <c r="M13" s="74"/>
      <c r="N13" s="74"/>
      <c r="O13" s="74"/>
      <c r="P13" s="18" t="s">
        <v>48</v>
      </c>
      <c r="Q13" s="18" t="s">
        <v>297</v>
      </c>
      <c r="R13" s="18">
        <v>32.200000000000003</v>
      </c>
      <c r="S13" s="18">
        <v>32.200000000000003</v>
      </c>
      <c r="T13" s="18" t="s">
        <v>80</v>
      </c>
      <c r="U13" s="51">
        <v>0</v>
      </c>
    </row>
    <row r="14" spans="1:21" ht="130.5" customHeight="1" thickTop="1" x14ac:dyDescent="0.2">
      <c r="A14" s="16"/>
      <c r="B14" s="17" t="s">
        <v>38</v>
      </c>
      <c r="C14" s="74" t="s">
        <v>660</v>
      </c>
      <c r="D14" s="74"/>
      <c r="E14" s="74"/>
      <c r="F14" s="74"/>
      <c r="G14" s="74"/>
      <c r="H14" s="74"/>
      <c r="I14" s="74" t="s">
        <v>661</v>
      </c>
      <c r="J14" s="74"/>
      <c r="K14" s="74"/>
      <c r="L14" s="74" t="s">
        <v>662</v>
      </c>
      <c r="M14" s="74"/>
      <c r="N14" s="74"/>
      <c r="O14" s="74"/>
      <c r="P14" s="18" t="s">
        <v>48</v>
      </c>
      <c r="Q14" s="18" t="s">
        <v>549</v>
      </c>
      <c r="R14" s="18">
        <v>96</v>
      </c>
      <c r="S14" s="18">
        <v>90</v>
      </c>
      <c r="T14" s="18">
        <v>116.1</v>
      </c>
      <c r="U14" s="51">
        <f>129</f>
        <v>129</v>
      </c>
    </row>
    <row r="15" spans="1:21" ht="90.75" customHeight="1" thickBot="1" x14ac:dyDescent="0.25">
      <c r="A15" s="16"/>
      <c r="B15" s="20" t="s">
        <v>49</v>
      </c>
      <c r="C15" s="65" t="s">
        <v>49</v>
      </c>
      <c r="D15" s="65"/>
      <c r="E15" s="65"/>
      <c r="F15" s="65"/>
      <c r="G15" s="65"/>
      <c r="H15" s="65"/>
      <c r="I15" s="65" t="s">
        <v>663</v>
      </c>
      <c r="J15" s="65"/>
      <c r="K15" s="65"/>
      <c r="L15" s="65" t="s">
        <v>664</v>
      </c>
      <c r="M15" s="65"/>
      <c r="N15" s="65"/>
      <c r="O15" s="65"/>
      <c r="P15" s="21" t="s">
        <v>48</v>
      </c>
      <c r="Q15" s="21" t="s">
        <v>57</v>
      </c>
      <c r="R15" s="21" t="s">
        <v>80</v>
      </c>
      <c r="S15" s="21">
        <v>70</v>
      </c>
      <c r="T15" s="21">
        <v>84.19</v>
      </c>
      <c r="U15" s="22">
        <f>120.3</f>
        <v>120.3</v>
      </c>
    </row>
    <row r="16" spans="1:21" ht="112.5" customHeight="1" thickTop="1" x14ac:dyDescent="0.2">
      <c r="A16" s="16"/>
      <c r="B16" s="17" t="s">
        <v>44</v>
      </c>
      <c r="C16" s="74" t="s">
        <v>665</v>
      </c>
      <c r="D16" s="74"/>
      <c r="E16" s="74"/>
      <c r="F16" s="74"/>
      <c r="G16" s="74"/>
      <c r="H16" s="74"/>
      <c r="I16" s="74" t="s">
        <v>666</v>
      </c>
      <c r="J16" s="74"/>
      <c r="K16" s="74"/>
      <c r="L16" s="74" t="s">
        <v>667</v>
      </c>
      <c r="M16" s="74"/>
      <c r="N16" s="74"/>
      <c r="O16" s="74"/>
      <c r="P16" s="18" t="s">
        <v>48</v>
      </c>
      <c r="Q16" s="18" t="s">
        <v>582</v>
      </c>
      <c r="R16" s="18">
        <v>100</v>
      </c>
      <c r="S16" s="18">
        <v>100</v>
      </c>
      <c r="T16" s="18">
        <v>139.30000000000001</v>
      </c>
      <c r="U16" s="51">
        <f>139.3</f>
        <v>139.30000000000001</v>
      </c>
    </row>
    <row r="17" spans="1:22" ht="75" customHeight="1" thickBot="1" x14ac:dyDescent="0.25">
      <c r="A17" s="16"/>
      <c r="B17" s="20" t="s">
        <v>49</v>
      </c>
      <c r="C17" s="65" t="s">
        <v>49</v>
      </c>
      <c r="D17" s="65"/>
      <c r="E17" s="65"/>
      <c r="F17" s="65"/>
      <c r="G17" s="65"/>
      <c r="H17" s="65"/>
      <c r="I17" s="65" t="s">
        <v>668</v>
      </c>
      <c r="J17" s="65"/>
      <c r="K17" s="65"/>
      <c r="L17" s="65" t="s">
        <v>669</v>
      </c>
      <c r="M17" s="65"/>
      <c r="N17" s="65"/>
      <c r="O17" s="65"/>
      <c r="P17" s="21" t="s">
        <v>598</v>
      </c>
      <c r="Q17" s="21" t="s">
        <v>582</v>
      </c>
      <c r="R17" s="40">
        <v>670000</v>
      </c>
      <c r="S17" s="40">
        <v>670000</v>
      </c>
      <c r="T17" s="40">
        <v>933222</v>
      </c>
      <c r="U17" s="22">
        <f>139.3</f>
        <v>139.30000000000001</v>
      </c>
    </row>
    <row r="18" spans="1:22" ht="14.25" customHeight="1" thickTop="1" thickBot="1" x14ac:dyDescent="0.25">
      <c r="B18" s="4" t="s">
        <v>58</v>
      </c>
      <c r="C18" s="5"/>
      <c r="D18" s="5"/>
      <c r="E18" s="5"/>
      <c r="F18" s="5"/>
      <c r="G18" s="5"/>
      <c r="H18" s="6"/>
      <c r="I18" s="6"/>
      <c r="J18" s="6"/>
      <c r="K18" s="6"/>
      <c r="L18" s="6"/>
      <c r="M18" s="6"/>
      <c r="N18" s="6"/>
      <c r="O18" s="6"/>
      <c r="P18" s="6"/>
      <c r="Q18" s="6"/>
      <c r="R18" s="6"/>
      <c r="S18" s="6"/>
      <c r="T18" s="6"/>
      <c r="U18" s="7"/>
      <c r="V18" s="23"/>
    </row>
    <row r="19" spans="1:22" ht="26.25" customHeight="1" thickTop="1" x14ac:dyDescent="0.2">
      <c r="B19" s="24"/>
      <c r="C19" s="25"/>
      <c r="D19" s="25"/>
      <c r="E19" s="25"/>
      <c r="F19" s="25"/>
      <c r="G19" s="25"/>
      <c r="H19" s="26"/>
      <c r="I19" s="26"/>
      <c r="J19" s="26"/>
      <c r="K19" s="26"/>
      <c r="L19" s="26"/>
      <c r="M19" s="26"/>
      <c r="N19" s="26"/>
      <c r="O19" s="26"/>
      <c r="P19" s="26"/>
      <c r="Q19" s="26"/>
      <c r="R19" s="27"/>
      <c r="S19" s="28" t="s">
        <v>33</v>
      </c>
      <c r="T19" s="28" t="s">
        <v>59</v>
      </c>
      <c r="U19" s="13" t="s">
        <v>60</v>
      </c>
    </row>
    <row r="20" spans="1:22" ht="34.5" customHeight="1" thickBot="1" x14ac:dyDescent="0.25">
      <c r="B20" s="29"/>
      <c r="C20" s="30"/>
      <c r="D20" s="30"/>
      <c r="E20" s="30"/>
      <c r="F20" s="30"/>
      <c r="G20" s="30"/>
      <c r="H20" s="31"/>
      <c r="I20" s="31"/>
      <c r="J20" s="31"/>
      <c r="K20" s="31"/>
      <c r="L20" s="31"/>
      <c r="M20" s="31"/>
      <c r="N20" s="31"/>
      <c r="O20" s="31"/>
      <c r="P20" s="31"/>
      <c r="Q20" s="31"/>
      <c r="R20" s="31"/>
      <c r="S20" s="32" t="s">
        <v>61</v>
      </c>
      <c r="T20" s="33" t="s">
        <v>61</v>
      </c>
      <c r="U20" s="33" t="s">
        <v>62</v>
      </c>
    </row>
    <row r="21" spans="1:22" ht="27" customHeight="1" thickBot="1" x14ac:dyDescent="0.25">
      <c r="B21" s="67" t="s">
        <v>63</v>
      </c>
      <c r="C21" s="68"/>
      <c r="D21" s="68"/>
      <c r="E21" s="34"/>
      <c r="F21" s="34"/>
      <c r="G21" s="34"/>
      <c r="H21" s="35"/>
      <c r="I21" s="35"/>
      <c r="J21" s="35"/>
      <c r="K21" s="35"/>
      <c r="L21" s="35"/>
      <c r="M21" s="35"/>
      <c r="N21" s="35"/>
      <c r="O21" s="35"/>
      <c r="P21" s="36"/>
      <c r="Q21" s="36"/>
      <c r="R21" s="36"/>
      <c r="S21" s="53">
        <v>4224.8765030000004</v>
      </c>
      <c r="T21" s="53">
        <v>4787.3988893099995</v>
      </c>
      <c r="U21" s="54">
        <f>+IF(ISERR(T21/S21*100),"N/A",ROUND(T21/S21*100,1))</f>
        <v>113.3</v>
      </c>
    </row>
    <row r="22" spans="1:22" ht="27" customHeight="1" thickBot="1" x14ac:dyDescent="0.25">
      <c r="B22" s="69" t="s">
        <v>64</v>
      </c>
      <c r="C22" s="70"/>
      <c r="D22" s="70"/>
      <c r="E22" s="37"/>
      <c r="F22" s="37"/>
      <c r="G22" s="37"/>
      <c r="H22" s="38"/>
      <c r="I22" s="38"/>
      <c r="J22" s="38"/>
      <c r="K22" s="38"/>
      <c r="L22" s="38"/>
      <c r="M22" s="38"/>
      <c r="N22" s="38"/>
      <c r="O22" s="38"/>
      <c r="P22" s="39"/>
      <c r="Q22" s="39"/>
      <c r="R22" s="39"/>
      <c r="S22" s="53">
        <v>4787.3988893099995</v>
      </c>
      <c r="T22" s="53">
        <v>4787.3988893099995</v>
      </c>
      <c r="U22" s="54">
        <f>+IF(ISERR(T22/S22*100),"N/A",ROUND(T22/S22*100,1))</f>
        <v>100</v>
      </c>
    </row>
    <row r="23" spans="1:22" ht="14.85" customHeight="1" thickTop="1" thickBot="1" x14ac:dyDescent="0.25">
      <c r="B23" s="4" t="s">
        <v>65</v>
      </c>
      <c r="C23" s="5"/>
      <c r="D23" s="5"/>
      <c r="E23" s="5"/>
      <c r="F23" s="5"/>
      <c r="G23" s="5"/>
      <c r="H23" s="6"/>
      <c r="I23" s="6"/>
      <c r="J23" s="6"/>
      <c r="K23" s="6"/>
      <c r="L23" s="6"/>
      <c r="M23" s="6"/>
      <c r="N23" s="6"/>
      <c r="O23" s="6"/>
      <c r="P23" s="6"/>
      <c r="Q23" s="6"/>
      <c r="R23" s="6"/>
      <c r="S23" s="6"/>
      <c r="T23" s="6"/>
      <c r="U23" s="7"/>
    </row>
    <row r="24" spans="1:22" ht="44.25" customHeight="1" thickTop="1" x14ac:dyDescent="0.2">
      <c r="B24" s="71" t="s">
        <v>66</v>
      </c>
      <c r="C24" s="72"/>
      <c r="D24" s="72"/>
      <c r="E24" s="72"/>
      <c r="F24" s="72"/>
      <c r="G24" s="72"/>
      <c r="H24" s="72"/>
      <c r="I24" s="72"/>
      <c r="J24" s="72"/>
      <c r="K24" s="72"/>
      <c r="L24" s="72"/>
      <c r="M24" s="72"/>
      <c r="N24" s="72"/>
      <c r="O24" s="72"/>
      <c r="P24" s="72"/>
      <c r="Q24" s="72"/>
      <c r="R24" s="72"/>
      <c r="S24" s="72"/>
      <c r="T24" s="72"/>
      <c r="U24" s="73"/>
    </row>
    <row r="25" spans="1:22" ht="34.5" customHeight="1" x14ac:dyDescent="0.2">
      <c r="B25" s="59" t="s">
        <v>670</v>
      </c>
      <c r="C25" s="60"/>
      <c r="D25" s="60"/>
      <c r="E25" s="60"/>
      <c r="F25" s="60"/>
      <c r="G25" s="60"/>
      <c r="H25" s="60"/>
      <c r="I25" s="60"/>
      <c r="J25" s="60"/>
      <c r="K25" s="60"/>
      <c r="L25" s="60"/>
      <c r="M25" s="60"/>
      <c r="N25" s="60"/>
      <c r="O25" s="60"/>
      <c r="P25" s="60"/>
      <c r="Q25" s="60"/>
      <c r="R25" s="60"/>
      <c r="S25" s="60"/>
      <c r="T25" s="60"/>
      <c r="U25" s="61"/>
    </row>
    <row r="26" spans="1:22" ht="97.5" customHeight="1" x14ac:dyDescent="0.2">
      <c r="B26" s="59" t="s">
        <v>671</v>
      </c>
      <c r="C26" s="60"/>
      <c r="D26" s="60"/>
      <c r="E26" s="60"/>
      <c r="F26" s="60"/>
      <c r="G26" s="60"/>
      <c r="H26" s="60"/>
      <c r="I26" s="60"/>
      <c r="J26" s="60"/>
      <c r="K26" s="60"/>
      <c r="L26" s="60"/>
      <c r="M26" s="60"/>
      <c r="N26" s="60"/>
      <c r="O26" s="60"/>
      <c r="P26" s="60"/>
      <c r="Q26" s="60"/>
      <c r="R26" s="60"/>
      <c r="S26" s="60"/>
      <c r="T26" s="60"/>
      <c r="U26" s="61"/>
    </row>
    <row r="27" spans="1:22" ht="97.5" customHeight="1" x14ac:dyDescent="0.2">
      <c r="B27" s="59" t="s">
        <v>672</v>
      </c>
      <c r="C27" s="60"/>
      <c r="D27" s="60"/>
      <c r="E27" s="60"/>
      <c r="F27" s="60"/>
      <c r="G27" s="60"/>
      <c r="H27" s="60"/>
      <c r="I27" s="60"/>
      <c r="J27" s="60"/>
      <c r="K27" s="60"/>
      <c r="L27" s="60"/>
      <c r="M27" s="60"/>
      <c r="N27" s="60"/>
      <c r="O27" s="60"/>
      <c r="P27" s="60"/>
      <c r="Q27" s="60"/>
      <c r="R27" s="60"/>
      <c r="S27" s="60"/>
      <c r="T27" s="60"/>
      <c r="U27" s="61"/>
    </row>
    <row r="28" spans="1:22" ht="97.5" customHeight="1" x14ac:dyDescent="0.2">
      <c r="B28" s="59" t="s">
        <v>673</v>
      </c>
      <c r="C28" s="60"/>
      <c r="D28" s="60"/>
      <c r="E28" s="60"/>
      <c r="F28" s="60"/>
      <c r="G28" s="60"/>
      <c r="H28" s="60"/>
      <c r="I28" s="60"/>
      <c r="J28" s="60"/>
      <c r="K28" s="60"/>
      <c r="L28" s="60"/>
      <c r="M28" s="60"/>
      <c r="N28" s="60"/>
      <c r="O28" s="60"/>
      <c r="P28" s="60"/>
      <c r="Q28" s="60"/>
      <c r="R28" s="60"/>
      <c r="S28" s="60"/>
      <c r="T28" s="60"/>
      <c r="U28" s="61"/>
    </row>
    <row r="29" spans="1:22" ht="97.5" customHeight="1" thickBot="1" x14ac:dyDescent="0.25">
      <c r="B29" s="62" t="s">
        <v>674</v>
      </c>
      <c r="C29" s="63"/>
      <c r="D29" s="63"/>
      <c r="E29" s="63"/>
      <c r="F29" s="63"/>
      <c r="G29" s="63"/>
      <c r="H29" s="63"/>
      <c r="I29" s="63"/>
      <c r="J29" s="63"/>
      <c r="K29" s="63"/>
      <c r="L29" s="63"/>
      <c r="M29" s="63"/>
      <c r="N29" s="63"/>
      <c r="O29" s="63"/>
      <c r="P29" s="63"/>
      <c r="Q29" s="63"/>
      <c r="R29" s="63"/>
      <c r="S29" s="63"/>
      <c r="T29" s="63"/>
      <c r="U29" s="64"/>
    </row>
  </sheetData>
  <mergeCells count="50">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B26:U26"/>
    <mergeCell ref="B27:U27"/>
    <mergeCell ref="B28:U28"/>
    <mergeCell ref="B29:U29"/>
    <mergeCell ref="B21:D21"/>
    <mergeCell ref="B22:D22"/>
    <mergeCell ref="B24:U24"/>
    <mergeCell ref="B25:U25"/>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9"/>
  <sheetViews>
    <sheetView zoomScale="90" zoomScaleNormal="90" zoomScaleSheetLayoutView="80" workbookViewId="0">
      <selection activeCell="L12" sqref="L12:O12"/>
    </sheetView>
  </sheetViews>
  <sheetFormatPr baseColWidth="10" defaultColWidth="10" defaultRowHeight="12.75" x14ac:dyDescent="0.2"/>
  <cols>
    <col min="1" max="1" width="3.5" style="1" customWidth="1"/>
    <col min="2" max="2" width="14.6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8.62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375" style="1" customWidth="1"/>
    <col min="19" max="19" width="13" style="1" customWidth="1"/>
    <col min="20" max="20" width="10.75" style="1" customWidth="1"/>
    <col min="21" max="21" width="12.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5" t="s">
        <v>0</v>
      </c>
      <c r="C1" s="55"/>
      <c r="D1" s="55"/>
      <c r="E1" s="55"/>
      <c r="F1" s="55"/>
      <c r="G1" s="55"/>
      <c r="H1" s="55"/>
      <c r="I1" s="55"/>
      <c r="J1" s="55"/>
      <c r="K1" s="55"/>
      <c r="L1" s="55"/>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42" t="s">
        <v>6</v>
      </c>
      <c r="C4" s="43" t="s">
        <v>675</v>
      </c>
      <c r="D4" s="102" t="s">
        <v>676</v>
      </c>
      <c r="E4" s="102"/>
      <c r="F4" s="102"/>
      <c r="G4" s="102"/>
      <c r="H4" s="102"/>
      <c r="I4" s="44"/>
      <c r="J4" s="45" t="s">
        <v>9</v>
      </c>
      <c r="K4" s="46" t="s">
        <v>10</v>
      </c>
      <c r="L4" s="103" t="s">
        <v>11</v>
      </c>
      <c r="M4" s="103"/>
      <c r="N4" s="103"/>
      <c r="O4" s="103"/>
      <c r="P4" s="45" t="s">
        <v>12</v>
      </c>
      <c r="Q4" s="103" t="s">
        <v>414</v>
      </c>
      <c r="R4" s="103"/>
      <c r="S4" s="45" t="s">
        <v>14</v>
      </c>
      <c r="T4" s="103"/>
      <c r="U4" s="104"/>
    </row>
    <row r="5" spans="1:21" ht="15.75" customHeight="1" x14ac:dyDescent="0.2">
      <c r="B5" s="99" t="s">
        <v>15</v>
      </c>
      <c r="C5" s="100"/>
      <c r="D5" s="100"/>
      <c r="E5" s="100"/>
      <c r="F5" s="100"/>
      <c r="G5" s="100"/>
      <c r="H5" s="100"/>
      <c r="I5" s="100"/>
      <c r="J5" s="100"/>
      <c r="K5" s="100"/>
      <c r="L5" s="100"/>
      <c r="M5" s="100"/>
      <c r="N5" s="100"/>
      <c r="O5" s="100"/>
      <c r="P5" s="100"/>
      <c r="Q5" s="100"/>
      <c r="R5" s="100"/>
      <c r="S5" s="100"/>
      <c r="T5" s="100"/>
      <c r="U5" s="101"/>
    </row>
    <row r="6" spans="1:21" ht="77.25" customHeight="1" thickBot="1" x14ac:dyDescent="0.25">
      <c r="B6" s="47" t="s">
        <v>16</v>
      </c>
      <c r="C6" s="76" t="s">
        <v>17</v>
      </c>
      <c r="D6" s="76"/>
      <c r="E6" s="76"/>
      <c r="F6" s="76"/>
      <c r="G6" s="76"/>
      <c r="H6" s="48"/>
      <c r="I6" s="48"/>
      <c r="J6" s="48" t="s">
        <v>18</v>
      </c>
      <c r="K6" s="76" t="s">
        <v>238</v>
      </c>
      <c r="L6" s="76"/>
      <c r="M6" s="76"/>
      <c r="N6" s="49"/>
      <c r="O6" s="48" t="s">
        <v>20</v>
      </c>
      <c r="P6" s="76" t="s">
        <v>239</v>
      </c>
      <c r="Q6" s="76"/>
      <c r="R6" s="50"/>
      <c r="S6" s="48" t="s">
        <v>22</v>
      </c>
      <c r="T6" s="76" t="s">
        <v>240</v>
      </c>
      <c r="U6" s="77"/>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8" t="s">
        <v>25</v>
      </c>
      <c r="C8" s="81" t="s">
        <v>26</v>
      </c>
      <c r="D8" s="81"/>
      <c r="E8" s="81"/>
      <c r="F8" s="81"/>
      <c r="G8" s="81"/>
      <c r="H8" s="82"/>
      <c r="I8" s="87" t="s">
        <v>27</v>
      </c>
      <c r="J8" s="88"/>
      <c r="K8" s="88"/>
      <c r="L8" s="88"/>
      <c r="M8" s="88"/>
      <c r="N8" s="88"/>
      <c r="O8" s="88"/>
      <c r="P8" s="88"/>
      <c r="Q8" s="88"/>
      <c r="R8" s="88"/>
      <c r="S8" s="89"/>
      <c r="T8" s="90" t="s">
        <v>28</v>
      </c>
      <c r="U8" s="91"/>
    </row>
    <row r="9" spans="1:21" ht="19.5" customHeight="1" x14ac:dyDescent="0.2">
      <c r="B9" s="79"/>
      <c r="C9" s="83"/>
      <c r="D9" s="83"/>
      <c r="E9" s="83"/>
      <c r="F9" s="83"/>
      <c r="G9" s="83"/>
      <c r="H9" s="84"/>
      <c r="I9" s="92" t="s">
        <v>29</v>
      </c>
      <c r="J9" s="81"/>
      <c r="K9" s="81"/>
      <c r="L9" s="81" t="s">
        <v>30</v>
      </c>
      <c r="M9" s="81"/>
      <c r="N9" s="81"/>
      <c r="O9" s="81"/>
      <c r="P9" s="81" t="s">
        <v>31</v>
      </c>
      <c r="Q9" s="81" t="s">
        <v>32</v>
      </c>
      <c r="R9" s="95" t="s">
        <v>33</v>
      </c>
      <c r="S9" s="96"/>
      <c r="T9" s="81" t="s">
        <v>34</v>
      </c>
      <c r="U9" s="97" t="s">
        <v>35</v>
      </c>
    </row>
    <row r="10" spans="1:21" ht="26.25" customHeight="1" thickBot="1" x14ac:dyDescent="0.25">
      <c r="B10" s="80"/>
      <c r="C10" s="85"/>
      <c r="D10" s="85"/>
      <c r="E10" s="85"/>
      <c r="F10" s="85"/>
      <c r="G10" s="85"/>
      <c r="H10" s="86"/>
      <c r="I10" s="93"/>
      <c r="J10" s="94"/>
      <c r="K10" s="94"/>
      <c r="L10" s="94"/>
      <c r="M10" s="94"/>
      <c r="N10" s="94"/>
      <c r="O10" s="94"/>
      <c r="P10" s="94"/>
      <c r="Q10" s="94"/>
      <c r="R10" s="14" t="s">
        <v>36</v>
      </c>
      <c r="S10" s="15" t="s">
        <v>37</v>
      </c>
      <c r="T10" s="94"/>
      <c r="U10" s="98"/>
    </row>
    <row r="11" spans="1:21" ht="135.75" customHeight="1" thickTop="1" x14ac:dyDescent="0.2">
      <c r="A11" s="16"/>
      <c r="B11" s="17" t="s">
        <v>75</v>
      </c>
      <c r="C11" s="74" t="s">
        <v>677</v>
      </c>
      <c r="D11" s="74"/>
      <c r="E11" s="74"/>
      <c r="F11" s="74"/>
      <c r="G11" s="74"/>
      <c r="H11" s="74"/>
      <c r="I11" s="74" t="s">
        <v>678</v>
      </c>
      <c r="J11" s="74"/>
      <c r="K11" s="74"/>
      <c r="L11" s="75" t="s">
        <v>679</v>
      </c>
      <c r="M11" s="75"/>
      <c r="N11" s="75"/>
      <c r="O11" s="75"/>
      <c r="P11" s="18" t="s">
        <v>48</v>
      </c>
      <c r="Q11" s="18" t="s">
        <v>244</v>
      </c>
      <c r="R11" s="18" t="s">
        <v>80</v>
      </c>
      <c r="S11" s="18">
        <v>3</v>
      </c>
      <c r="T11" s="18" t="s">
        <v>80</v>
      </c>
      <c r="U11" s="51">
        <v>0</v>
      </c>
    </row>
    <row r="12" spans="1:21" ht="284.25" customHeight="1" thickBot="1" x14ac:dyDescent="0.25">
      <c r="A12" s="16"/>
      <c r="B12" s="20" t="s">
        <v>49</v>
      </c>
      <c r="C12" s="65" t="s">
        <v>49</v>
      </c>
      <c r="D12" s="65"/>
      <c r="E12" s="65"/>
      <c r="F12" s="65"/>
      <c r="G12" s="65"/>
      <c r="H12" s="65"/>
      <c r="I12" s="65" t="s">
        <v>680</v>
      </c>
      <c r="J12" s="65"/>
      <c r="K12" s="65"/>
      <c r="L12" s="66" t="s">
        <v>681</v>
      </c>
      <c r="M12" s="66"/>
      <c r="N12" s="66"/>
      <c r="O12" s="66"/>
      <c r="P12" s="21" t="s">
        <v>48</v>
      </c>
      <c r="Q12" s="21" t="s">
        <v>244</v>
      </c>
      <c r="R12" s="21" t="s">
        <v>80</v>
      </c>
      <c r="S12" s="21">
        <v>83</v>
      </c>
      <c r="T12" s="21" t="s">
        <v>80</v>
      </c>
      <c r="U12" s="22">
        <v>0</v>
      </c>
    </row>
    <row r="13" spans="1:21" ht="115.5" customHeight="1" thickTop="1" thickBot="1" x14ac:dyDescent="0.25">
      <c r="A13" s="16"/>
      <c r="B13" s="17" t="s">
        <v>81</v>
      </c>
      <c r="C13" s="74" t="s">
        <v>682</v>
      </c>
      <c r="D13" s="74"/>
      <c r="E13" s="74"/>
      <c r="F13" s="74"/>
      <c r="G13" s="74"/>
      <c r="H13" s="74"/>
      <c r="I13" s="74" t="s">
        <v>683</v>
      </c>
      <c r="J13" s="74"/>
      <c r="K13" s="74"/>
      <c r="L13" s="75" t="s">
        <v>684</v>
      </c>
      <c r="M13" s="75"/>
      <c r="N13" s="75"/>
      <c r="O13" s="75"/>
      <c r="P13" s="18" t="s">
        <v>685</v>
      </c>
      <c r="Q13" s="18" t="s">
        <v>165</v>
      </c>
      <c r="R13" s="18">
        <v>0.73</v>
      </c>
      <c r="S13" s="18">
        <v>70</v>
      </c>
      <c r="T13" s="18">
        <v>71</v>
      </c>
      <c r="U13" s="51">
        <v>101.42</v>
      </c>
    </row>
    <row r="14" spans="1:21" ht="75" customHeight="1" thickTop="1" x14ac:dyDescent="0.2">
      <c r="A14" s="16"/>
      <c r="B14" s="17" t="s">
        <v>38</v>
      </c>
      <c r="C14" s="74" t="s">
        <v>686</v>
      </c>
      <c r="D14" s="74"/>
      <c r="E14" s="74"/>
      <c r="F14" s="74"/>
      <c r="G14" s="74"/>
      <c r="H14" s="74"/>
      <c r="I14" s="74" t="s">
        <v>687</v>
      </c>
      <c r="J14" s="74"/>
      <c r="K14" s="74"/>
      <c r="L14" s="75" t="s">
        <v>688</v>
      </c>
      <c r="M14" s="75"/>
      <c r="N14" s="75"/>
      <c r="O14" s="75"/>
      <c r="P14" s="18" t="s">
        <v>255</v>
      </c>
      <c r="Q14" s="18" t="s">
        <v>689</v>
      </c>
      <c r="R14" s="41">
        <v>32</v>
      </c>
      <c r="S14" s="41">
        <v>32</v>
      </c>
      <c r="T14" s="41">
        <v>30</v>
      </c>
      <c r="U14" s="19">
        <f>93.8</f>
        <v>93.8</v>
      </c>
    </row>
    <row r="15" spans="1:21" ht="105" customHeight="1" x14ac:dyDescent="0.2">
      <c r="A15" s="16"/>
      <c r="B15" s="20" t="s">
        <v>49</v>
      </c>
      <c r="C15" s="65" t="s">
        <v>49</v>
      </c>
      <c r="D15" s="65"/>
      <c r="E15" s="65"/>
      <c r="F15" s="65"/>
      <c r="G15" s="65"/>
      <c r="H15" s="65"/>
      <c r="I15" s="65" t="s">
        <v>690</v>
      </c>
      <c r="J15" s="65"/>
      <c r="K15" s="65"/>
      <c r="L15" s="66" t="s">
        <v>691</v>
      </c>
      <c r="M15" s="66"/>
      <c r="N15" s="66"/>
      <c r="O15" s="66"/>
      <c r="P15" s="21" t="s">
        <v>48</v>
      </c>
      <c r="Q15" s="21" t="s">
        <v>133</v>
      </c>
      <c r="R15" s="21" t="s">
        <v>80</v>
      </c>
      <c r="S15" s="21">
        <v>20.91</v>
      </c>
      <c r="T15" s="21">
        <v>14.61</v>
      </c>
      <c r="U15" s="22">
        <f>69.87</f>
        <v>69.87</v>
      </c>
    </row>
    <row r="16" spans="1:21" ht="103.5" customHeight="1" x14ac:dyDescent="0.2">
      <c r="A16" s="16"/>
      <c r="B16" s="20" t="s">
        <v>49</v>
      </c>
      <c r="C16" s="65" t="s">
        <v>49</v>
      </c>
      <c r="D16" s="65"/>
      <c r="E16" s="65"/>
      <c r="F16" s="65"/>
      <c r="G16" s="65"/>
      <c r="H16" s="65"/>
      <c r="I16" s="65" t="s">
        <v>692</v>
      </c>
      <c r="J16" s="65"/>
      <c r="K16" s="65"/>
      <c r="L16" s="66" t="s">
        <v>693</v>
      </c>
      <c r="M16" s="66"/>
      <c r="N16" s="66"/>
      <c r="O16" s="66"/>
      <c r="P16" s="21" t="s">
        <v>48</v>
      </c>
      <c r="Q16" s="21" t="s">
        <v>694</v>
      </c>
      <c r="R16" s="21" t="s">
        <v>80</v>
      </c>
      <c r="S16" s="21">
        <v>20.91</v>
      </c>
      <c r="T16" s="21" t="s">
        <v>80</v>
      </c>
      <c r="U16" s="22">
        <v>0</v>
      </c>
    </row>
    <row r="17" spans="1:22" ht="139.5" customHeight="1" x14ac:dyDescent="0.2">
      <c r="A17" s="16"/>
      <c r="B17" s="20" t="s">
        <v>49</v>
      </c>
      <c r="C17" s="65" t="s">
        <v>49</v>
      </c>
      <c r="D17" s="65"/>
      <c r="E17" s="65"/>
      <c r="F17" s="65"/>
      <c r="G17" s="65"/>
      <c r="H17" s="65"/>
      <c r="I17" s="65" t="s">
        <v>695</v>
      </c>
      <c r="J17" s="65"/>
      <c r="K17" s="65"/>
      <c r="L17" s="66" t="s">
        <v>696</v>
      </c>
      <c r="M17" s="66"/>
      <c r="N17" s="66"/>
      <c r="O17" s="66"/>
      <c r="P17" s="21" t="s">
        <v>48</v>
      </c>
      <c r="Q17" s="21" t="s">
        <v>133</v>
      </c>
      <c r="R17" s="21" t="s">
        <v>80</v>
      </c>
      <c r="S17" s="21">
        <v>58.18</v>
      </c>
      <c r="T17" s="21">
        <v>62.18</v>
      </c>
      <c r="U17" s="22">
        <f>106.9</f>
        <v>106.9</v>
      </c>
    </row>
    <row r="18" spans="1:22" ht="147" customHeight="1" x14ac:dyDescent="0.2">
      <c r="A18" s="16"/>
      <c r="B18" s="20" t="s">
        <v>49</v>
      </c>
      <c r="C18" s="65" t="s">
        <v>697</v>
      </c>
      <c r="D18" s="65"/>
      <c r="E18" s="65"/>
      <c r="F18" s="65"/>
      <c r="G18" s="65"/>
      <c r="H18" s="65"/>
      <c r="I18" s="65" t="s">
        <v>698</v>
      </c>
      <c r="J18" s="65"/>
      <c r="K18" s="65"/>
      <c r="L18" s="66" t="s">
        <v>699</v>
      </c>
      <c r="M18" s="66"/>
      <c r="N18" s="66"/>
      <c r="O18" s="66"/>
      <c r="P18" s="21" t="s">
        <v>700</v>
      </c>
      <c r="Q18" s="21" t="s">
        <v>701</v>
      </c>
      <c r="R18" s="40">
        <v>5</v>
      </c>
      <c r="S18" s="40">
        <v>5</v>
      </c>
      <c r="T18" s="40">
        <v>5</v>
      </c>
      <c r="U18" s="22">
        <f>100</f>
        <v>100</v>
      </c>
    </row>
    <row r="19" spans="1:22" ht="83.25" customHeight="1" thickBot="1" x14ac:dyDescent="0.25">
      <c r="A19" s="16"/>
      <c r="B19" s="20" t="s">
        <v>49</v>
      </c>
      <c r="C19" s="65" t="s">
        <v>49</v>
      </c>
      <c r="D19" s="65"/>
      <c r="E19" s="65"/>
      <c r="F19" s="65"/>
      <c r="G19" s="65"/>
      <c r="H19" s="65"/>
      <c r="I19" s="65" t="s">
        <v>702</v>
      </c>
      <c r="J19" s="65"/>
      <c r="K19" s="65"/>
      <c r="L19" s="66" t="s">
        <v>703</v>
      </c>
      <c r="M19" s="66"/>
      <c r="N19" s="66"/>
      <c r="O19" s="66"/>
      <c r="P19" s="21" t="s">
        <v>48</v>
      </c>
      <c r="Q19" s="21" t="s">
        <v>701</v>
      </c>
      <c r="R19" s="21">
        <v>74.819999999999993</v>
      </c>
      <c r="S19" s="21">
        <v>74.819999999999993</v>
      </c>
      <c r="T19" s="21">
        <v>102.41</v>
      </c>
      <c r="U19" s="22">
        <f>136.9</f>
        <v>136.9</v>
      </c>
    </row>
    <row r="20" spans="1:22" ht="75" customHeight="1" thickTop="1" x14ac:dyDescent="0.2">
      <c r="A20" s="16"/>
      <c r="B20" s="17" t="s">
        <v>44</v>
      </c>
      <c r="C20" s="74" t="s">
        <v>704</v>
      </c>
      <c r="D20" s="74"/>
      <c r="E20" s="74"/>
      <c r="F20" s="74"/>
      <c r="G20" s="74"/>
      <c r="H20" s="74"/>
      <c r="I20" s="74" t="s">
        <v>705</v>
      </c>
      <c r="J20" s="74"/>
      <c r="K20" s="74"/>
      <c r="L20" s="75" t="s">
        <v>706</v>
      </c>
      <c r="M20" s="75"/>
      <c r="N20" s="75"/>
      <c r="O20" s="75"/>
      <c r="P20" s="18" t="s">
        <v>707</v>
      </c>
      <c r="Q20" s="18" t="s">
        <v>95</v>
      </c>
      <c r="R20" s="41">
        <v>32</v>
      </c>
      <c r="S20" s="41">
        <v>32</v>
      </c>
      <c r="T20" s="41">
        <v>30</v>
      </c>
      <c r="U20" s="51">
        <f>93.8</f>
        <v>93.8</v>
      </c>
    </row>
    <row r="21" spans="1:22" ht="75" customHeight="1" x14ac:dyDescent="0.2">
      <c r="A21" s="16"/>
      <c r="B21" s="20" t="s">
        <v>49</v>
      </c>
      <c r="C21" s="65" t="s">
        <v>49</v>
      </c>
      <c r="D21" s="65"/>
      <c r="E21" s="65"/>
      <c r="F21" s="65"/>
      <c r="G21" s="65"/>
      <c r="H21" s="65"/>
      <c r="I21" s="65" t="s">
        <v>708</v>
      </c>
      <c r="J21" s="65"/>
      <c r="K21" s="65"/>
      <c r="L21" s="66" t="s">
        <v>709</v>
      </c>
      <c r="M21" s="66"/>
      <c r="N21" s="66"/>
      <c r="O21" s="66"/>
      <c r="P21" s="21" t="s">
        <v>61</v>
      </c>
      <c r="Q21" s="21" t="s">
        <v>95</v>
      </c>
      <c r="R21" s="40" t="s">
        <v>80</v>
      </c>
      <c r="S21" s="40">
        <v>239.1</v>
      </c>
      <c r="T21" s="40">
        <v>228.88</v>
      </c>
      <c r="U21" s="22">
        <f>95.7</f>
        <v>95.7</v>
      </c>
    </row>
    <row r="22" spans="1:22" ht="75" customHeight="1" x14ac:dyDescent="0.2">
      <c r="A22" s="16"/>
      <c r="B22" s="20" t="s">
        <v>49</v>
      </c>
      <c r="C22" s="65" t="s">
        <v>710</v>
      </c>
      <c r="D22" s="65"/>
      <c r="E22" s="65"/>
      <c r="F22" s="65"/>
      <c r="G22" s="65"/>
      <c r="H22" s="65"/>
      <c r="I22" s="65" t="s">
        <v>711</v>
      </c>
      <c r="J22" s="65"/>
      <c r="K22" s="65"/>
      <c r="L22" s="66" t="s">
        <v>712</v>
      </c>
      <c r="M22" s="66"/>
      <c r="N22" s="66"/>
      <c r="O22" s="66"/>
      <c r="P22" s="21" t="s">
        <v>713</v>
      </c>
      <c r="Q22" s="21" t="s">
        <v>714</v>
      </c>
      <c r="R22" s="40" t="s">
        <v>80</v>
      </c>
      <c r="S22" s="40">
        <v>17</v>
      </c>
      <c r="T22" s="40">
        <v>15</v>
      </c>
      <c r="U22" s="22">
        <f>88.2</f>
        <v>88.2</v>
      </c>
    </row>
    <row r="23" spans="1:22" ht="87" customHeight="1" x14ac:dyDescent="0.2">
      <c r="A23" s="16"/>
      <c r="B23" s="20" t="s">
        <v>49</v>
      </c>
      <c r="C23" s="65" t="s">
        <v>715</v>
      </c>
      <c r="D23" s="65"/>
      <c r="E23" s="65"/>
      <c r="F23" s="65"/>
      <c r="G23" s="65"/>
      <c r="H23" s="65"/>
      <c r="I23" s="65" t="s">
        <v>716</v>
      </c>
      <c r="J23" s="65"/>
      <c r="K23" s="65"/>
      <c r="L23" s="66" t="s">
        <v>717</v>
      </c>
      <c r="M23" s="66"/>
      <c r="N23" s="66"/>
      <c r="O23" s="66"/>
      <c r="P23" s="21" t="s">
        <v>718</v>
      </c>
      <c r="Q23" s="21" t="s">
        <v>95</v>
      </c>
      <c r="R23" s="40">
        <v>6</v>
      </c>
      <c r="S23" s="40">
        <v>6</v>
      </c>
      <c r="T23" s="40">
        <v>6</v>
      </c>
      <c r="U23" s="22">
        <f>100</f>
        <v>100</v>
      </c>
    </row>
    <row r="24" spans="1:22" ht="103.5" customHeight="1" thickBot="1" x14ac:dyDescent="0.25">
      <c r="A24" s="16"/>
      <c r="B24" s="20" t="s">
        <v>49</v>
      </c>
      <c r="C24" s="65" t="s">
        <v>49</v>
      </c>
      <c r="D24" s="65"/>
      <c r="E24" s="65"/>
      <c r="F24" s="65"/>
      <c r="G24" s="65"/>
      <c r="H24" s="65"/>
      <c r="I24" s="65" t="s">
        <v>719</v>
      </c>
      <c r="J24" s="65"/>
      <c r="K24" s="65"/>
      <c r="L24" s="66" t="s">
        <v>720</v>
      </c>
      <c r="M24" s="66"/>
      <c r="N24" s="66"/>
      <c r="O24" s="66"/>
      <c r="P24" s="21" t="s">
        <v>721</v>
      </c>
      <c r="Q24" s="21" t="s">
        <v>95</v>
      </c>
      <c r="R24" s="40">
        <v>6</v>
      </c>
      <c r="S24" s="40">
        <v>6</v>
      </c>
      <c r="T24" s="40">
        <v>6</v>
      </c>
      <c r="U24" s="22">
        <f>100</f>
        <v>100</v>
      </c>
    </row>
    <row r="25" spans="1:22" ht="14.25" customHeight="1" thickTop="1" thickBot="1" x14ac:dyDescent="0.25">
      <c r="B25" s="4" t="s">
        <v>58</v>
      </c>
      <c r="C25" s="5"/>
      <c r="D25" s="5"/>
      <c r="E25" s="5"/>
      <c r="F25" s="5"/>
      <c r="G25" s="5"/>
      <c r="H25" s="6"/>
      <c r="I25" s="6"/>
      <c r="J25" s="6"/>
      <c r="K25" s="6"/>
      <c r="L25" s="6"/>
      <c r="M25" s="6"/>
      <c r="N25" s="6"/>
      <c r="O25" s="6"/>
      <c r="P25" s="6"/>
      <c r="Q25" s="6"/>
      <c r="R25" s="6"/>
      <c r="S25" s="6"/>
      <c r="T25" s="6"/>
      <c r="U25" s="7"/>
      <c r="V25" s="23"/>
    </row>
    <row r="26" spans="1:22" ht="26.25" customHeight="1" thickTop="1" x14ac:dyDescent="0.2">
      <c r="B26" s="24"/>
      <c r="C26" s="25"/>
      <c r="D26" s="25"/>
      <c r="E26" s="25"/>
      <c r="F26" s="25"/>
      <c r="G26" s="25"/>
      <c r="H26" s="26"/>
      <c r="I26" s="26"/>
      <c r="J26" s="26"/>
      <c r="K26" s="26"/>
      <c r="L26" s="26"/>
      <c r="M26" s="26"/>
      <c r="N26" s="26"/>
      <c r="O26" s="26"/>
      <c r="P26" s="26"/>
      <c r="Q26" s="26"/>
      <c r="R26" s="27"/>
      <c r="S26" s="28" t="s">
        <v>33</v>
      </c>
      <c r="T26" s="28" t="s">
        <v>59</v>
      </c>
      <c r="U26" s="13" t="s">
        <v>60</v>
      </c>
    </row>
    <row r="27" spans="1:22" ht="27.75" customHeight="1" thickBot="1" x14ac:dyDescent="0.25">
      <c r="B27" s="29"/>
      <c r="C27" s="30"/>
      <c r="D27" s="30"/>
      <c r="E27" s="30"/>
      <c r="F27" s="30"/>
      <c r="G27" s="30"/>
      <c r="H27" s="31"/>
      <c r="I27" s="31"/>
      <c r="J27" s="31"/>
      <c r="K27" s="31"/>
      <c r="L27" s="31"/>
      <c r="M27" s="31"/>
      <c r="N27" s="31"/>
      <c r="O27" s="31"/>
      <c r="P27" s="31"/>
      <c r="Q27" s="31"/>
      <c r="R27" s="31"/>
      <c r="S27" s="32" t="s">
        <v>61</v>
      </c>
      <c r="T27" s="33" t="s">
        <v>61</v>
      </c>
      <c r="U27" s="33" t="s">
        <v>62</v>
      </c>
    </row>
    <row r="28" spans="1:22" ht="18.75" customHeight="1" thickBot="1" x14ac:dyDescent="0.25">
      <c r="B28" s="67" t="s">
        <v>63</v>
      </c>
      <c r="C28" s="68"/>
      <c r="D28" s="68"/>
      <c r="E28" s="34"/>
      <c r="F28" s="34"/>
      <c r="G28" s="34"/>
      <c r="H28" s="35"/>
      <c r="I28" s="35"/>
      <c r="J28" s="35"/>
      <c r="K28" s="35"/>
      <c r="L28" s="35"/>
      <c r="M28" s="35"/>
      <c r="N28" s="35"/>
      <c r="O28" s="35"/>
      <c r="P28" s="36"/>
      <c r="Q28" s="36"/>
      <c r="R28" s="36"/>
      <c r="S28" s="53">
        <v>258.41299099999998</v>
      </c>
      <c r="T28" s="53">
        <v>239.14197221999996</v>
      </c>
      <c r="U28" s="54">
        <f>+IF(ISERR(T28/S28*100),"N/A",ROUND(T28/S28*100,1))</f>
        <v>92.5</v>
      </c>
    </row>
    <row r="29" spans="1:22" ht="18.75" customHeight="1" thickBot="1" x14ac:dyDescent="0.25">
      <c r="B29" s="69" t="s">
        <v>64</v>
      </c>
      <c r="C29" s="70"/>
      <c r="D29" s="70"/>
      <c r="E29" s="37"/>
      <c r="F29" s="37"/>
      <c r="G29" s="37"/>
      <c r="H29" s="38"/>
      <c r="I29" s="38"/>
      <c r="J29" s="38"/>
      <c r="K29" s="38"/>
      <c r="L29" s="38"/>
      <c r="M29" s="38"/>
      <c r="N29" s="38"/>
      <c r="O29" s="38"/>
      <c r="P29" s="39"/>
      <c r="Q29" s="39"/>
      <c r="R29" s="39"/>
      <c r="S29" s="53">
        <v>239.14197221999993</v>
      </c>
      <c r="T29" s="53">
        <v>239.14197221999996</v>
      </c>
      <c r="U29" s="54">
        <f>+IF(ISERR(T29/S29*100),"N/A",ROUND(T29/S29*100,1))</f>
        <v>100</v>
      </c>
    </row>
    <row r="30" spans="1:22" ht="14.85" customHeight="1" thickTop="1" thickBot="1" x14ac:dyDescent="0.25">
      <c r="B30" s="4" t="s">
        <v>65</v>
      </c>
      <c r="C30" s="5"/>
      <c r="D30" s="5"/>
      <c r="E30" s="5"/>
      <c r="F30" s="5"/>
      <c r="G30" s="5"/>
      <c r="H30" s="6"/>
      <c r="I30" s="6"/>
      <c r="J30" s="6"/>
      <c r="K30" s="6"/>
      <c r="L30" s="6"/>
      <c r="M30" s="6"/>
      <c r="N30" s="6"/>
      <c r="O30" s="6"/>
      <c r="P30" s="6"/>
      <c r="Q30" s="6"/>
      <c r="R30" s="6"/>
      <c r="S30" s="6"/>
      <c r="T30" s="6"/>
      <c r="U30" s="7"/>
    </row>
    <row r="31" spans="1:22" ht="44.25" customHeight="1" thickTop="1" x14ac:dyDescent="0.2">
      <c r="B31" s="71" t="s">
        <v>66</v>
      </c>
      <c r="C31" s="72"/>
      <c r="D31" s="72"/>
      <c r="E31" s="72"/>
      <c r="F31" s="72"/>
      <c r="G31" s="72"/>
      <c r="H31" s="72"/>
      <c r="I31" s="72"/>
      <c r="J31" s="72"/>
      <c r="K31" s="72"/>
      <c r="L31" s="72"/>
      <c r="M31" s="72"/>
      <c r="N31" s="72"/>
      <c r="O31" s="72"/>
      <c r="P31" s="72"/>
      <c r="Q31" s="72"/>
      <c r="R31" s="72"/>
      <c r="S31" s="72"/>
      <c r="T31" s="72"/>
      <c r="U31" s="73"/>
    </row>
    <row r="32" spans="1:22" ht="85.5" customHeight="1" x14ac:dyDescent="0.2">
      <c r="B32" s="59" t="s">
        <v>722</v>
      </c>
      <c r="C32" s="60"/>
      <c r="D32" s="60"/>
      <c r="E32" s="60"/>
      <c r="F32" s="60"/>
      <c r="G32" s="60"/>
      <c r="H32" s="60"/>
      <c r="I32" s="60"/>
      <c r="J32" s="60"/>
      <c r="K32" s="60"/>
      <c r="L32" s="60"/>
      <c r="M32" s="60"/>
      <c r="N32" s="60"/>
      <c r="O32" s="60"/>
      <c r="P32" s="60"/>
      <c r="Q32" s="60"/>
      <c r="R32" s="60"/>
      <c r="S32" s="60"/>
      <c r="T32" s="60"/>
      <c r="U32" s="61"/>
    </row>
    <row r="33" spans="2:21" ht="54" customHeight="1" x14ac:dyDescent="0.2">
      <c r="B33" s="59" t="s">
        <v>723</v>
      </c>
      <c r="C33" s="60"/>
      <c r="D33" s="60"/>
      <c r="E33" s="60"/>
      <c r="F33" s="60"/>
      <c r="G33" s="60"/>
      <c r="H33" s="60"/>
      <c r="I33" s="60"/>
      <c r="J33" s="60"/>
      <c r="K33" s="60"/>
      <c r="L33" s="60"/>
      <c r="M33" s="60"/>
      <c r="N33" s="60"/>
      <c r="O33" s="60"/>
      <c r="P33" s="60"/>
      <c r="Q33" s="60"/>
      <c r="R33" s="60"/>
      <c r="S33" s="60"/>
      <c r="T33" s="60"/>
      <c r="U33" s="61"/>
    </row>
    <row r="34" spans="2:21" ht="54" customHeight="1" x14ac:dyDescent="0.2">
      <c r="B34" s="59" t="s">
        <v>724</v>
      </c>
      <c r="C34" s="60"/>
      <c r="D34" s="60"/>
      <c r="E34" s="60"/>
      <c r="F34" s="60"/>
      <c r="G34" s="60"/>
      <c r="H34" s="60"/>
      <c r="I34" s="60"/>
      <c r="J34" s="60"/>
      <c r="K34" s="60"/>
      <c r="L34" s="60"/>
      <c r="M34" s="60"/>
      <c r="N34" s="60"/>
      <c r="O34" s="60"/>
      <c r="P34" s="60"/>
      <c r="Q34" s="60"/>
      <c r="R34" s="60"/>
      <c r="S34" s="60"/>
      <c r="T34" s="60"/>
      <c r="U34" s="61"/>
    </row>
    <row r="35" spans="2:21" ht="90" customHeight="1" x14ac:dyDescent="0.2">
      <c r="B35" s="59" t="s">
        <v>725</v>
      </c>
      <c r="C35" s="60"/>
      <c r="D35" s="60"/>
      <c r="E35" s="60"/>
      <c r="F35" s="60"/>
      <c r="G35" s="60"/>
      <c r="H35" s="60"/>
      <c r="I35" s="60"/>
      <c r="J35" s="60"/>
      <c r="K35" s="60"/>
      <c r="L35" s="60"/>
      <c r="M35" s="60"/>
      <c r="N35" s="60"/>
      <c r="O35" s="60"/>
      <c r="P35" s="60"/>
      <c r="Q35" s="60"/>
      <c r="R35" s="60"/>
      <c r="S35" s="60"/>
      <c r="T35" s="60"/>
      <c r="U35" s="61"/>
    </row>
    <row r="36" spans="2:21" ht="54" customHeight="1" x14ac:dyDescent="0.2">
      <c r="B36" s="59" t="s">
        <v>726</v>
      </c>
      <c r="C36" s="60"/>
      <c r="D36" s="60"/>
      <c r="E36" s="60"/>
      <c r="F36" s="60"/>
      <c r="G36" s="60"/>
      <c r="H36" s="60"/>
      <c r="I36" s="60"/>
      <c r="J36" s="60"/>
      <c r="K36" s="60"/>
      <c r="L36" s="60"/>
      <c r="M36" s="60"/>
      <c r="N36" s="60"/>
      <c r="O36" s="60"/>
      <c r="P36" s="60"/>
      <c r="Q36" s="60"/>
      <c r="R36" s="60"/>
      <c r="S36" s="60"/>
      <c r="T36" s="60"/>
      <c r="U36" s="61"/>
    </row>
    <row r="37" spans="2:21" ht="54" customHeight="1" x14ac:dyDescent="0.2">
      <c r="B37" s="59" t="s">
        <v>727</v>
      </c>
      <c r="C37" s="60"/>
      <c r="D37" s="60"/>
      <c r="E37" s="60"/>
      <c r="F37" s="60"/>
      <c r="G37" s="60"/>
      <c r="H37" s="60"/>
      <c r="I37" s="60"/>
      <c r="J37" s="60"/>
      <c r="K37" s="60"/>
      <c r="L37" s="60"/>
      <c r="M37" s="60"/>
      <c r="N37" s="60"/>
      <c r="O37" s="60"/>
      <c r="P37" s="60"/>
      <c r="Q37" s="60"/>
      <c r="R37" s="60"/>
      <c r="S37" s="60"/>
      <c r="T37" s="60"/>
      <c r="U37" s="61"/>
    </row>
    <row r="38" spans="2:21" ht="54" customHeight="1" x14ac:dyDescent="0.2">
      <c r="B38" s="59" t="s">
        <v>728</v>
      </c>
      <c r="C38" s="60"/>
      <c r="D38" s="60"/>
      <c r="E38" s="60"/>
      <c r="F38" s="60"/>
      <c r="G38" s="60"/>
      <c r="H38" s="60"/>
      <c r="I38" s="60"/>
      <c r="J38" s="60"/>
      <c r="K38" s="60"/>
      <c r="L38" s="60"/>
      <c r="M38" s="60"/>
      <c r="N38" s="60"/>
      <c r="O38" s="60"/>
      <c r="P38" s="60"/>
      <c r="Q38" s="60"/>
      <c r="R38" s="60"/>
      <c r="S38" s="60"/>
      <c r="T38" s="60"/>
      <c r="U38" s="61"/>
    </row>
    <row r="39" spans="2:21" ht="54" customHeight="1" thickBot="1" x14ac:dyDescent="0.25">
      <c r="B39" s="62" t="s">
        <v>729</v>
      </c>
      <c r="C39" s="63"/>
      <c r="D39" s="63"/>
      <c r="E39" s="63"/>
      <c r="F39" s="63"/>
      <c r="G39" s="63"/>
      <c r="H39" s="63"/>
      <c r="I39" s="63"/>
      <c r="J39" s="63"/>
      <c r="K39" s="63"/>
      <c r="L39" s="63"/>
      <c r="M39" s="63"/>
      <c r="N39" s="63"/>
      <c r="O39" s="63"/>
      <c r="P39" s="63"/>
      <c r="Q39" s="63"/>
      <c r="R39" s="63"/>
      <c r="S39" s="63"/>
      <c r="T39" s="63"/>
      <c r="U39" s="64"/>
    </row>
  </sheetData>
  <mergeCells count="74">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C18:H18"/>
    <mergeCell ref="I18:K18"/>
    <mergeCell ref="L18:O18"/>
    <mergeCell ref="C19:H19"/>
    <mergeCell ref="I19:K19"/>
    <mergeCell ref="L19:O19"/>
    <mergeCell ref="C20:H20"/>
    <mergeCell ref="I20:K20"/>
    <mergeCell ref="L20:O20"/>
    <mergeCell ref="C21:H21"/>
    <mergeCell ref="I21:K21"/>
    <mergeCell ref="L21:O21"/>
    <mergeCell ref="B31:U31"/>
    <mergeCell ref="B32:U32"/>
    <mergeCell ref="B33:U33"/>
    <mergeCell ref="B34:U34"/>
    <mergeCell ref="C22:H22"/>
    <mergeCell ref="I22:K22"/>
    <mergeCell ref="L22:O22"/>
    <mergeCell ref="C23:H23"/>
    <mergeCell ref="I23:K23"/>
    <mergeCell ref="L23:O23"/>
    <mergeCell ref="C24:H24"/>
    <mergeCell ref="I24:K24"/>
    <mergeCell ref="L24:O24"/>
    <mergeCell ref="B28:D28"/>
    <mergeCell ref="B29:D29"/>
    <mergeCell ref="B35:U35"/>
    <mergeCell ref="B36:U36"/>
    <mergeCell ref="B37:U37"/>
    <mergeCell ref="B38:U38"/>
    <mergeCell ref="B39:U39"/>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53"/>
  <sheetViews>
    <sheetView zoomScale="90" zoomScaleNormal="90" zoomScaleSheetLayoutView="80" workbookViewId="0">
      <selection activeCell="V16" sqref="V16"/>
    </sheetView>
  </sheetViews>
  <sheetFormatPr baseColWidth="10" defaultColWidth="10" defaultRowHeight="12.75" x14ac:dyDescent="0.2"/>
  <cols>
    <col min="1" max="1" width="3.5" style="1" customWidth="1"/>
    <col min="2" max="2" width="14.6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8.62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375" style="1" customWidth="1"/>
    <col min="19" max="19" width="13" style="1" customWidth="1"/>
    <col min="20" max="20" width="10.75" style="1" customWidth="1"/>
    <col min="21" max="21" width="12.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5" t="s">
        <v>0</v>
      </c>
      <c r="C1" s="55"/>
      <c r="D1" s="55"/>
      <c r="E1" s="55"/>
      <c r="F1" s="55"/>
      <c r="G1" s="55"/>
      <c r="H1" s="55"/>
      <c r="I1" s="55"/>
      <c r="J1" s="55"/>
      <c r="K1" s="55"/>
      <c r="L1" s="55"/>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42" t="s">
        <v>6</v>
      </c>
      <c r="C4" s="43" t="s">
        <v>730</v>
      </c>
      <c r="D4" s="102" t="s">
        <v>731</v>
      </c>
      <c r="E4" s="102"/>
      <c r="F4" s="102"/>
      <c r="G4" s="102"/>
      <c r="H4" s="102"/>
      <c r="I4" s="44"/>
      <c r="J4" s="45" t="s">
        <v>9</v>
      </c>
      <c r="K4" s="46" t="s">
        <v>10</v>
      </c>
      <c r="L4" s="103" t="s">
        <v>11</v>
      </c>
      <c r="M4" s="103"/>
      <c r="N4" s="103"/>
      <c r="O4" s="103"/>
      <c r="P4" s="45" t="s">
        <v>12</v>
      </c>
      <c r="Q4" s="103" t="s">
        <v>732</v>
      </c>
      <c r="R4" s="103"/>
      <c r="S4" s="45" t="s">
        <v>14</v>
      </c>
      <c r="T4" s="103" t="s">
        <v>156</v>
      </c>
      <c r="U4" s="104"/>
    </row>
    <row r="5" spans="1:21" ht="15.75" customHeight="1" x14ac:dyDescent="0.2">
      <c r="B5" s="99" t="s">
        <v>15</v>
      </c>
      <c r="C5" s="100"/>
      <c r="D5" s="100"/>
      <c r="E5" s="100"/>
      <c r="F5" s="100"/>
      <c r="G5" s="100"/>
      <c r="H5" s="100"/>
      <c r="I5" s="100"/>
      <c r="J5" s="100"/>
      <c r="K5" s="100"/>
      <c r="L5" s="100"/>
      <c r="M5" s="100"/>
      <c r="N5" s="100"/>
      <c r="O5" s="100"/>
      <c r="P5" s="100"/>
      <c r="Q5" s="100"/>
      <c r="R5" s="100"/>
      <c r="S5" s="100"/>
      <c r="T5" s="100"/>
      <c r="U5" s="101"/>
    </row>
    <row r="6" spans="1:21" ht="63.75" customHeight="1" thickBot="1" x14ac:dyDescent="0.25">
      <c r="B6" s="47" t="s">
        <v>16</v>
      </c>
      <c r="C6" s="76" t="s">
        <v>17</v>
      </c>
      <c r="D6" s="76"/>
      <c r="E6" s="76"/>
      <c r="F6" s="76"/>
      <c r="G6" s="76"/>
      <c r="H6" s="48"/>
      <c r="I6" s="48"/>
      <c r="J6" s="48" t="s">
        <v>18</v>
      </c>
      <c r="K6" s="76" t="s">
        <v>19</v>
      </c>
      <c r="L6" s="76"/>
      <c r="M6" s="76"/>
      <c r="N6" s="49"/>
      <c r="O6" s="48" t="s">
        <v>20</v>
      </c>
      <c r="P6" s="76" t="s">
        <v>21</v>
      </c>
      <c r="Q6" s="76"/>
      <c r="R6" s="50"/>
      <c r="S6" s="48" t="s">
        <v>22</v>
      </c>
      <c r="T6" s="76" t="s">
        <v>733</v>
      </c>
      <c r="U6" s="77"/>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8" t="s">
        <v>25</v>
      </c>
      <c r="C8" s="81" t="s">
        <v>26</v>
      </c>
      <c r="D8" s="81"/>
      <c r="E8" s="81"/>
      <c r="F8" s="81"/>
      <c r="G8" s="81"/>
      <c r="H8" s="82"/>
      <c r="I8" s="87" t="s">
        <v>27</v>
      </c>
      <c r="J8" s="88"/>
      <c r="K8" s="88"/>
      <c r="L8" s="88"/>
      <c r="M8" s="88"/>
      <c r="N8" s="88"/>
      <c r="O8" s="88"/>
      <c r="P8" s="88"/>
      <c r="Q8" s="88"/>
      <c r="R8" s="88"/>
      <c r="S8" s="89"/>
      <c r="T8" s="90" t="s">
        <v>28</v>
      </c>
      <c r="U8" s="91"/>
    </row>
    <row r="9" spans="1:21" ht="19.5" customHeight="1" x14ac:dyDescent="0.2">
      <c r="B9" s="79"/>
      <c r="C9" s="83"/>
      <c r="D9" s="83"/>
      <c r="E9" s="83"/>
      <c r="F9" s="83"/>
      <c r="G9" s="83"/>
      <c r="H9" s="84"/>
      <c r="I9" s="92" t="s">
        <v>29</v>
      </c>
      <c r="J9" s="81"/>
      <c r="K9" s="81"/>
      <c r="L9" s="81" t="s">
        <v>30</v>
      </c>
      <c r="M9" s="81"/>
      <c r="N9" s="81"/>
      <c r="O9" s="81"/>
      <c r="P9" s="81" t="s">
        <v>31</v>
      </c>
      <c r="Q9" s="81" t="s">
        <v>32</v>
      </c>
      <c r="R9" s="95" t="s">
        <v>33</v>
      </c>
      <c r="S9" s="96"/>
      <c r="T9" s="81" t="s">
        <v>34</v>
      </c>
      <c r="U9" s="97" t="s">
        <v>35</v>
      </c>
    </row>
    <row r="10" spans="1:21" ht="26.25" customHeight="1" thickBot="1" x14ac:dyDescent="0.25">
      <c r="B10" s="80"/>
      <c r="C10" s="85"/>
      <c r="D10" s="85"/>
      <c r="E10" s="85"/>
      <c r="F10" s="85"/>
      <c r="G10" s="85"/>
      <c r="H10" s="86"/>
      <c r="I10" s="93"/>
      <c r="J10" s="94"/>
      <c r="K10" s="94"/>
      <c r="L10" s="94"/>
      <c r="M10" s="94"/>
      <c r="N10" s="94"/>
      <c r="O10" s="94"/>
      <c r="P10" s="94"/>
      <c r="Q10" s="94"/>
      <c r="R10" s="14" t="s">
        <v>36</v>
      </c>
      <c r="S10" s="15" t="s">
        <v>37</v>
      </c>
      <c r="T10" s="94"/>
      <c r="U10" s="98"/>
    </row>
    <row r="11" spans="1:21" ht="151.5" customHeight="1" thickTop="1" x14ac:dyDescent="0.2">
      <c r="A11" s="16"/>
      <c r="B11" s="17" t="s">
        <v>75</v>
      </c>
      <c r="C11" s="74" t="s">
        <v>734</v>
      </c>
      <c r="D11" s="74"/>
      <c r="E11" s="74"/>
      <c r="F11" s="74"/>
      <c r="G11" s="74"/>
      <c r="H11" s="74"/>
      <c r="I11" s="74" t="s">
        <v>735</v>
      </c>
      <c r="J11" s="74"/>
      <c r="K11" s="74"/>
      <c r="L11" s="75" t="s">
        <v>736</v>
      </c>
      <c r="M11" s="75"/>
      <c r="N11" s="75"/>
      <c r="O11" s="75"/>
      <c r="P11" s="18" t="s">
        <v>48</v>
      </c>
      <c r="Q11" s="18" t="s">
        <v>170</v>
      </c>
      <c r="R11" s="18">
        <v>85.01</v>
      </c>
      <c r="S11" s="18">
        <v>85.01</v>
      </c>
      <c r="T11" s="18">
        <v>95.98</v>
      </c>
      <c r="U11" s="51">
        <f>112.91</f>
        <v>112.91</v>
      </c>
    </row>
    <row r="12" spans="1:21" ht="150" customHeight="1" thickBot="1" x14ac:dyDescent="0.25">
      <c r="A12" s="16"/>
      <c r="B12" s="20" t="s">
        <v>49</v>
      </c>
      <c r="C12" s="65" t="s">
        <v>49</v>
      </c>
      <c r="D12" s="65"/>
      <c r="E12" s="65"/>
      <c r="F12" s="65"/>
      <c r="G12" s="65"/>
      <c r="H12" s="65"/>
      <c r="I12" s="65" t="s">
        <v>737</v>
      </c>
      <c r="J12" s="65"/>
      <c r="K12" s="65"/>
      <c r="L12" s="66" t="s">
        <v>738</v>
      </c>
      <c r="M12" s="66"/>
      <c r="N12" s="66"/>
      <c r="O12" s="66"/>
      <c r="P12" s="21" t="s">
        <v>48</v>
      </c>
      <c r="Q12" s="21" t="s">
        <v>170</v>
      </c>
      <c r="R12" s="21">
        <v>85.02</v>
      </c>
      <c r="S12" s="21">
        <v>85.02</v>
      </c>
      <c r="T12" s="21">
        <v>76.38</v>
      </c>
      <c r="U12" s="22">
        <f>89.84</f>
        <v>89.84</v>
      </c>
    </row>
    <row r="13" spans="1:21" ht="155.25" customHeight="1" thickTop="1" x14ac:dyDescent="0.2">
      <c r="A13" s="16"/>
      <c r="B13" s="17" t="s">
        <v>81</v>
      </c>
      <c r="C13" s="74" t="s">
        <v>739</v>
      </c>
      <c r="D13" s="74"/>
      <c r="E13" s="74"/>
      <c r="F13" s="74"/>
      <c r="G13" s="74"/>
      <c r="H13" s="74"/>
      <c r="I13" s="74" t="s">
        <v>740</v>
      </c>
      <c r="J13" s="74"/>
      <c r="K13" s="74"/>
      <c r="L13" s="75" t="s">
        <v>741</v>
      </c>
      <c r="M13" s="75"/>
      <c r="N13" s="75"/>
      <c r="O13" s="75"/>
      <c r="P13" s="18" t="s">
        <v>48</v>
      </c>
      <c r="Q13" s="18" t="s">
        <v>170</v>
      </c>
      <c r="R13" s="18">
        <v>95.01</v>
      </c>
      <c r="S13" s="18">
        <v>95.01</v>
      </c>
      <c r="T13" s="18">
        <v>97.11</v>
      </c>
      <c r="U13" s="51">
        <f>102.21</f>
        <v>102.21</v>
      </c>
    </row>
    <row r="14" spans="1:21" ht="81" customHeight="1" x14ac:dyDescent="0.2">
      <c r="A14" s="16"/>
      <c r="B14" s="20" t="s">
        <v>49</v>
      </c>
      <c r="C14" s="65" t="s">
        <v>49</v>
      </c>
      <c r="D14" s="65"/>
      <c r="E14" s="65"/>
      <c r="F14" s="65"/>
      <c r="G14" s="65"/>
      <c r="H14" s="65"/>
      <c r="I14" s="65" t="s">
        <v>742</v>
      </c>
      <c r="J14" s="65"/>
      <c r="K14" s="65"/>
      <c r="L14" s="66" t="s">
        <v>743</v>
      </c>
      <c r="M14" s="66"/>
      <c r="N14" s="66"/>
      <c r="O14" s="66"/>
      <c r="P14" s="21" t="s">
        <v>744</v>
      </c>
      <c r="Q14" s="21" t="s">
        <v>170</v>
      </c>
      <c r="R14" s="21">
        <v>35</v>
      </c>
      <c r="S14" s="21">
        <v>35</v>
      </c>
      <c r="T14" s="21">
        <v>33.67</v>
      </c>
      <c r="U14" s="22">
        <f>96.19</f>
        <v>96.19</v>
      </c>
    </row>
    <row r="15" spans="1:21" ht="84.75" customHeight="1" thickBot="1" x14ac:dyDescent="0.25">
      <c r="A15" s="16"/>
      <c r="B15" s="20" t="s">
        <v>49</v>
      </c>
      <c r="C15" s="65" t="s">
        <v>49</v>
      </c>
      <c r="D15" s="65"/>
      <c r="E15" s="65"/>
      <c r="F15" s="65"/>
      <c r="G15" s="65"/>
      <c r="H15" s="65"/>
      <c r="I15" s="65" t="s">
        <v>745</v>
      </c>
      <c r="J15" s="65"/>
      <c r="K15" s="65"/>
      <c r="L15" s="66" t="s">
        <v>746</v>
      </c>
      <c r="M15" s="66"/>
      <c r="N15" s="66"/>
      <c r="O15" s="66"/>
      <c r="P15" s="21" t="s">
        <v>747</v>
      </c>
      <c r="Q15" s="21" t="s">
        <v>748</v>
      </c>
      <c r="R15" s="40">
        <v>70</v>
      </c>
      <c r="S15" s="40">
        <v>70</v>
      </c>
      <c r="T15" s="40">
        <v>77</v>
      </c>
      <c r="U15" s="22">
        <f>110</f>
        <v>110</v>
      </c>
    </row>
    <row r="16" spans="1:21" ht="111" customHeight="1" thickTop="1" x14ac:dyDescent="0.2">
      <c r="A16" s="16"/>
      <c r="B16" s="17" t="s">
        <v>38</v>
      </c>
      <c r="C16" s="74" t="s">
        <v>749</v>
      </c>
      <c r="D16" s="74"/>
      <c r="E16" s="74"/>
      <c r="F16" s="74"/>
      <c r="G16" s="74"/>
      <c r="H16" s="74"/>
      <c r="I16" s="74" t="s">
        <v>750</v>
      </c>
      <c r="J16" s="74"/>
      <c r="K16" s="74"/>
      <c r="L16" s="75" t="s">
        <v>751</v>
      </c>
      <c r="M16" s="75"/>
      <c r="N16" s="75"/>
      <c r="O16" s="75"/>
      <c r="P16" s="18" t="s">
        <v>552</v>
      </c>
      <c r="Q16" s="18" t="s">
        <v>85</v>
      </c>
      <c r="R16" s="41">
        <v>275000</v>
      </c>
      <c r="S16" s="41">
        <v>275000</v>
      </c>
      <c r="T16" s="41">
        <v>289691</v>
      </c>
      <c r="U16" s="51">
        <f>105.34</f>
        <v>105.34</v>
      </c>
    </row>
    <row r="17" spans="1:22" ht="90.75" customHeight="1" x14ac:dyDescent="0.2">
      <c r="A17" s="16"/>
      <c r="B17" s="20" t="s">
        <v>49</v>
      </c>
      <c r="C17" s="65" t="s">
        <v>49</v>
      </c>
      <c r="D17" s="65"/>
      <c r="E17" s="65"/>
      <c r="F17" s="65"/>
      <c r="G17" s="65"/>
      <c r="H17" s="65"/>
      <c r="I17" s="65" t="s">
        <v>752</v>
      </c>
      <c r="J17" s="65"/>
      <c r="K17" s="65"/>
      <c r="L17" s="66" t="s">
        <v>753</v>
      </c>
      <c r="M17" s="66"/>
      <c r="N17" s="66"/>
      <c r="O17" s="66"/>
      <c r="P17" s="21" t="s">
        <v>132</v>
      </c>
      <c r="Q17" s="21" t="s">
        <v>85</v>
      </c>
      <c r="R17" s="40">
        <v>253000</v>
      </c>
      <c r="S17" s="40">
        <v>253000</v>
      </c>
      <c r="T17" s="40">
        <v>272269</v>
      </c>
      <c r="U17" s="22">
        <f>107.62</f>
        <v>107.62</v>
      </c>
    </row>
    <row r="18" spans="1:22" ht="111.75" customHeight="1" x14ac:dyDescent="0.2">
      <c r="A18" s="16"/>
      <c r="B18" s="20" t="s">
        <v>49</v>
      </c>
      <c r="C18" s="65" t="s">
        <v>49</v>
      </c>
      <c r="D18" s="65"/>
      <c r="E18" s="65"/>
      <c r="F18" s="65"/>
      <c r="G18" s="65"/>
      <c r="H18" s="65"/>
      <c r="I18" s="65" t="s">
        <v>754</v>
      </c>
      <c r="J18" s="65"/>
      <c r="K18" s="65"/>
      <c r="L18" s="66" t="s">
        <v>755</v>
      </c>
      <c r="M18" s="66"/>
      <c r="N18" s="66"/>
      <c r="O18" s="66"/>
      <c r="P18" s="21" t="s">
        <v>552</v>
      </c>
      <c r="Q18" s="21" t="s">
        <v>91</v>
      </c>
      <c r="R18" s="40">
        <v>1191000</v>
      </c>
      <c r="S18" s="40">
        <v>1191000</v>
      </c>
      <c r="T18" s="40">
        <v>1357146</v>
      </c>
      <c r="U18" s="22">
        <f>113.95</f>
        <v>113.95</v>
      </c>
    </row>
    <row r="19" spans="1:22" ht="90" customHeight="1" x14ac:dyDescent="0.2">
      <c r="A19" s="16"/>
      <c r="B19" s="20" t="s">
        <v>49</v>
      </c>
      <c r="C19" s="65" t="s">
        <v>49</v>
      </c>
      <c r="D19" s="65"/>
      <c r="E19" s="65"/>
      <c r="F19" s="65"/>
      <c r="G19" s="65"/>
      <c r="H19" s="65"/>
      <c r="I19" s="65" t="s">
        <v>756</v>
      </c>
      <c r="J19" s="65"/>
      <c r="K19" s="65"/>
      <c r="L19" s="66" t="s">
        <v>757</v>
      </c>
      <c r="M19" s="66"/>
      <c r="N19" s="66"/>
      <c r="O19" s="66"/>
      <c r="P19" s="21" t="s">
        <v>132</v>
      </c>
      <c r="Q19" s="21" t="s">
        <v>91</v>
      </c>
      <c r="R19" s="40">
        <v>1096000</v>
      </c>
      <c r="S19" s="40">
        <v>1096000</v>
      </c>
      <c r="T19" s="40">
        <v>1176733</v>
      </c>
      <c r="U19" s="22">
        <f>107.37</f>
        <v>107.37</v>
      </c>
    </row>
    <row r="20" spans="1:22" ht="75" customHeight="1" x14ac:dyDescent="0.2">
      <c r="A20" s="16"/>
      <c r="B20" s="20" t="s">
        <v>49</v>
      </c>
      <c r="C20" s="65" t="s">
        <v>758</v>
      </c>
      <c r="D20" s="65"/>
      <c r="E20" s="65"/>
      <c r="F20" s="65"/>
      <c r="G20" s="65"/>
      <c r="H20" s="65"/>
      <c r="I20" s="65" t="s">
        <v>759</v>
      </c>
      <c r="J20" s="65"/>
      <c r="K20" s="65"/>
      <c r="L20" s="66" t="s">
        <v>760</v>
      </c>
      <c r="M20" s="66"/>
      <c r="N20" s="66"/>
      <c r="O20" s="66"/>
      <c r="P20" s="21" t="s">
        <v>761</v>
      </c>
      <c r="Q20" s="21" t="s">
        <v>85</v>
      </c>
      <c r="R20" s="40">
        <v>9300</v>
      </c>
      <c r="S20" s="40">
        <v>9300</v>
      </c>
      <c r="T20" s="40">
        <v>9364</v>
      </c>
      <c r="U20" s="22">
        <f>100.69</f>
        <v>100.69</v>
      </c>
    </row>
    <row r="21" spans="1:22" ht="81.75" customHeight="1" thickBot="1" x14ac:dyDescent="0.25">
      <c r="A21" s="16"/>
      <c r="B21" s="20" t="s">
        <v>49</v>
      </c>
      <c r="C21" s="65" t="s">
        <v>762</v>
      </c>
      <c r="D21" s="65"/>
      <c r="E21" s="65"/>
      <c r="F21" s="65"/>
      <c r="G21" s="65"/>
      <c r="H21" s="65"/>
      <c r="I21" s="65" t="s">
        <v>763</v>
      </c>
      <c r="J21" s="65"/>
      <c r="K21" s="65"/>
      <c r="L21" s="66" t="s">
        <v>764</v>
      </c>
      <c r="M21" s="66"/>
      <c r="N21" s="66"/>
      <c r="O21" s="66"/>
      <c r="P21" s="21" t="s">
        <v>747</v>
      </c>
      <c r="Q21" s="21" t="s">
        <v>748</v>
      </c>
      <c r="R21" s="40">
        <v>90</v>
      </c>
      <c r="S21" s="40">
        <v>90</v>
      </c>
      <c r="T21" s="40">
        <v>91.48</v>
      </c>
      <c r="U21" s="22">
        <f>101.64</f>
        <v>101.64</v>
      </c>
    </row>
    <row r="22" spans="1:22" ht="80.25" customHeight="1" thickTop="1" x14ac:dyDescent="0.2">
      <c r="A22" s="16"/>
      <c r="B22" s="17" t="s">
        <v>44</v>
      </c>
      <c r="C22" s="74" t="s">
        <v>765</v>
      </c>
      <c r="D22" s="74"/>
      <c r="E22" s="74"/>
      <c r="F22" s="74"/>
      <c r="G22" s="74"/>
      <c r="H22" s="74"/>
      <c r="I22" s="74" t="s">
        <v>766</v>
      </c>
      <c r="J22" s="74"/>
      <c r="K22" s="74"/>
      <c r="L22" s="75" t="s">
        <v>767</v>
      </c>
      <c r="M22" s="75"/>
      <c r="N22" s="75"/>
      <c r="O22" s="75"/>
      <c r="P22" s="18" t="s">
        <v>48</v>
      </c>
      <c r="Q22" s="18" t="s">
        <v>95</v>
      </c>
      <c r="R22" s="18">
        <v>99</v>
      </c>
      <c r="S22" s="18">
        <v>99</v>
      </c>
      <c r="T22" s="18">
        <v>95.19</v>
      </c>
      <c r="U22" s="51">
        <f>96.15</f>
        <v>96.15</v>
      </c>
    </row>
    <row r="23" spans="1:22" ht="75" customHeight="1" x14ac:dyDescent="0.2">
      <c r="A23" s="16"/>
      <c r="B23" s="20" t="s">
        <v>49</v>
      </c>
      <c r="C23" s="65" t="s">
        <v>49</v>
      </c>
      <c r="D23" s="65"/>
      <c r="E23" s="65"/>
      <c r="F23" s="65"/>
      <c r="G23" s="65"/>
      <c r="H23" s="65"/>
      <c r="I23" s="65" t="s">
        <v>768</v>
      </c>
      <c r="J23" s="65"/>
      <c r="K23" s="65"/>
      <c r="L23" s="66" t="s">
        <v>769</v>
      </c>
      <c r="M23" s="66"/>
      <c r="N23" s="66"/>
      <c r="O23" s="66"/>
      <c r="P23" s="21" t="s">
        <v>747</v>
      </c>
      <c r="Q23" s="21" t="s">
        <v>91</v>
      </c>
      <c r="R23" s="21">
        <v>88.24</v>
      </c>
      <c r="S23" s="21">
        <v>88.24</v>
      </c>
      <c r="T23" s="21">
        <v>107.14</v>
      </c>
      <c r="U23" s="22">
        <f>121.43</f>
        <v>121.43</v>
      </c>
    </row>
    <row r="24" spans="1:22" ht="104.25" customHeight="1" x14ac:dyDescent="0.2">
      <c r="A24" s="16"/>
      <c r="B24" s="20" t="s">
        <v>49</v>
      </c>
      <c r="C24" s="65" t="s">
        <v>770</v>
      </c>
      <c r="D24" s="65"/>
      <c r="E24" s="65"/>
      <c r="F24" s="65"/>
      <c r="G24" s="65"/>
      <c r="H24" s="65"/>
      <c r="I24" s="65" t="s">
        <v>771</v>
      </c>
      <c r="J24" s="65"/>
      <c r="K24" s="65"/>
      <c r="L24" s="66" t="s">
        <v>772</v>
      </c>
      <c r="M24" s="66"/>
      <c r="N24" s="66"/>
      <c r="O24" s="66"/>
      <c r="P24" s="21" t="s">
        <v>48</v>
      </c>
      <c r="Q24" s="21" t="s">
        <v>701</v>
      </c>
      <c r="R24" s="21">
        <v>99</v>
      </c>
      <c r="S24" s="21">
        <v>99</v>
      </c>
      <c r="T24" s="21">
        <v>5.59</v>
      </c>
      <c r="U24" s="22">
        <f>5.64</f>
        <v>5.64</v>
      </c>
    </row>
    <row r="25" spans="1:22" ht="99.75" customHeight="1" x14ac:dyDescent="0.2">
      <c r="A25" s="16"/>
      <c r="B25" s="20" t="s">
        <v>49</v>
      </c>
      <c r="C25" s="65" t="s">
        <v>773</v>
      </c>
      <c r="D25" s="65"/>
      <c r="E25" s="65"/>
      <c r="F25" s="65"/>
      <c r="G25" s="65"/>
      <c r="H25" s="65"/>
      <c r="I25" s="65" t="s">
        <v>774</v>
      </c>
      <c r="J25" s="65"/>
      <c r="K25" s="65"/>
      <c r="L25" s="66" t="s">
        <v>775</v>
      </c>
      <c r="M25" s="66"/>
      <c r="N25" s="66"/>
      <c r="O25" s="66"/>
      <c r="P25" s="21" t="s">
        <v>48</v>
      </c>
      <c r="Q25" s="21" t="s">
        <v>57</v>
      </c>
      <c r="R25" s="21">
        <v>90</v>
      </c>
      <c r="S25" s="21">
        <v>90</v>
      </c>
      <c r="T25" s="21">
        <v>90.03</v>
      </c>
      <c r="U25" s="22">
        <f>100.03</f>
        <v>100.03</v>
      </c>
    </row>
    <row r="26" spans="1:22" ht="111.75" customHeight="1" x14ac:dyDescent="0.2">
      <c r="A26" s="16"/>
      <c r="B26" s="20" t="s">
        <v>49</v>
      </c>
      <c r="C26" s="65" t="s">
        <v>49</v>
      </c>
      <c r="D26" s="65"/>
      <c r="E26" s="65"/>
      <c r="F26" s="65"/>
      <c r="G26" s="65"/>
      <c r="H26" s="65"/>
      <c r="I26" s="65" t="s">
        <v>776</v>
      </c>
      <c r="J26" s="65"/>
      <c r="K26" s="65"/>
      <c r="L26" s="66" t="s">
        <v>777</v>
      </c>
      <c r="M26" s="66"/>
      <c r="N26" s="66"/>
      <c r="O26" s="66"/>
      <c r="P26" s="21" t="s">
        <v>48</v>
      </c>
      <c r="Q26" s="21" t="s">
        <v>778</v>
      </c>
      <c r="R26" s="21">
        <v>100</v>
      </c>
      <c r="S26" s="21">
        <v>100</v>
      </c>
      <c r="T26" s="21">
        <v>200</v>
      </c>
      <c r="U26" s="22">
        <f>200</f>
        <v>200</v>
      </c>
    </row>
    <row r="27" spans="1:22" ht="96.75" customHeight="1" x14ac:dyDescent="0.2">
      <c r="A27" s="16"/>
      <c r="B27" s="20" t="s">
        <v>49</v>
      </c>
      <c r="C27" s="65" t="s">
        <v>779</v>
      </c>
      <c r="D27" s="65"/>
      <c r="E27" s="65"/>
      <c r="F27" s="65"/>
      <c r="G27" s="65"/>
      <c r="H27" s="65"/>
      <c r="I27" s="65" t="s">
        <v>780</v>
      </c>
      <c r="J27" s="65"/>
      <c r="K27" s="65"/>
      <c r="L27" s="66" t="s">
        <v>781</v>
      </c>
      <c r="M27" s="66"/>
      <c r="N27" s="66"/>
      <c r="O27" s="66"/>
      <c r="P27" s="21" t="s">
        <v>48</v>
      </c>
      <c r="Q27" s="21" t="s">
        <v>57</v>
      </c>
      <c r="R27" s="21">
        <v>85</v>
      </c>
      <c r="S27" s="21">
        <v>85</v>
      </c>
      <c r="T27" s="21">
        <v>51.32</v>
      </c>
      <c r="U27" s="22">
        <f>60.38</f>
        <v>60.38</v>
      </c>
    </row>
    <row r="28" spans="1:22" ht="96.75" customHeight="1" thickBot="1" x14ac:dyDescent="0.25">
      <c r="A28" s="16"/>
      <c r="B28" s="20" t="s">
        <v>49</v>
      </c>
      <c r="C28" s="65" t="s">
        <v>782</v>
      </c>
      <c r="D28" s="65"/>
      <c r="E28" s="65"/>
      <c r="F28" s="65"/>
      <c r="G28" s="65"/>
      <c r="H28" s="65"/>
      <c r="I28" s="65" t="s">
        <v>783</v>
      </c>
      <c r="J28" s="65"/>
      <c r="K28" s="65"/>
      <c r="L28" s="66" t="s">
        <v>784</v>
      </c>
      <c r="M28" s="66"/>
      <c r="N28" s="66"/>
      <c r="O28" s="66"/>
      <c r="P28" s="21" t="s">
        <v>48</v>
      </c>
      <c r="Q28" s="21" t="s">
        <v>57</v>
      </c>
      <c r="R28" s="21">
        <v>85</v>
      </c>
      <c r="S28" s="21">
        <v>85</v>
      </c>
      <c r="T28" s="21">
        <v>88.14</v>
      </c>
      <c r="U28" s="22">
        <f>103.69</f>
        <v>103.69</v>
      </c>
    </row>
    <row r="29" spans="1:22" ht="14.25" customHeight="1" thickTop="1" thickBot="1" x14ac:dyDescent="0.25">
      <c r="B29" s="4" t="s">
        <v>58</v>
      </c>
      <c r="C29" s="5"/>
      <c r="D29" s="5"/>
      <c r="E29" s="5"/>
      <c r="F29" s="5"/>
      <c r="G29" s="5"/>
      <c r="H29" s="6"/>
      <c r="I29" s="6"/>
      <c r="J29" s="6"/>
      <c r="K29" s="6"/>
      <c r="L29" s="6"/>
      <c r="M29" s="6"/>
      <c r="N29" s="6"/>
      <c r="O29" s="6"/>
      <c r="P29" s="6"/>
      <c r="Q29" s="6"/>
      <c r="R29" s="6"/>
      <c r="S29" s="6"/>
      <c r="T29" s="6"/>
      <c r="U29" s="7"/>
      <c r="V29" s="23"/>
    </row>
    <row r="30" spans="1:22" ht="26.25" customHeight="1" thickTop="1" x14ac:dyDescent="0.2">
      <c r="B30" s="24"/>
      <c r="C30" s="25"/>
      <c r="D30" s="25"/>
      <c r="E30" s="25"/>
      <c r="F30" s="25"/>
      <c r="G30" s="25"/>
      <c r="H30" s="26"/>
      <c r="I30" s="26"/>
      <c r="J30" s="26"/>
      <c r="K30" s="26"/>
      <c r="L30" s="26"/>
      <c r="M30" s="26"/>
      <c r="N30" s="26"/>
      <c r="O30" s="26"/>
      <c r="P30" s="26"/>
      <c r="Q30" s="26"/>
      <c r="R30" s="27"/>
      <c r="S30" s="28" t="s">
        <v>33</v>
      </c>
      <c r="T30" s="28" t="s">
        <v>59</v>
      </c>
      <c r="U30" s="13" t="s">
        <v>60</v>
      </c>
    </row>
    <row r="31" spans="1:22" ht="39" customHeight="1" thickBot="1" x14ac:dyDescent="0.25">
      <c r="B31" s="29"/>
      <c r="C31" s="30"/>
      <c r="D31" s="30"/>
      <c r="E31" s="30"/>
      <c r="F31" s="30"/>
      <c r="G31" s="30"/>
      <c r="H31" s="31"/>
      <c r="I31" s="31"/>
      <c r="J31" s="31"/>
      <c r="K31" s="31"/>
      <c r="L31" s="31"/>
      <c r="M31" s="31"/>
      <c r="N31" s="31"/>
      <c r="O31" s="31"/>
      <c r="P31" s="31"/>
      <c r="Q31" s="31"/>
      <c r="R31" s="31"/>
      <c r="S31" s="32" t="s">
        <v>61</v>
      </c>
      <c r="T31" s="33" t="s">
        <v>61</v>
      </c>
      <c r="U31" s="33" t="s">
        <v>62</v>
      </c>
    </row>
    <row r="32" spans="1:22" ht="18" customHeight="1" thickBot="1" x14ac:dyDescent="0.25">
      <c r="B32" s="67" t="s">
        <v>63</v>
      </c>
      <c r="C32" s="68"/>
      <c r="D32" s="68"/>
      <c r="E32" s="34"/>
      <c r="F32" s="34"/>
      <c r="G32" s="34"/>
      <c r="H32" s="35"/>
      <c r="I32" s="35"/>
      <c r="J32" s="35"/>
      <c r="K32" s="35"/>
      <c r="L32" s="35"/>
      <c r="M32" s="35"/>
      <c r="N32" s="35"/>
      <c r="O32" s="35"/>
      <c r="P32" s="36"/>
      <c r="Q32" s="36"/>
      <c r="R32" s="36"/>
      <c r="S32" s="53">
        <v>3547.5883699999999</v>
      </c>
      <c r="T32" s="53">
        <v>3139.9076743300002</v>
      </c>
      <c r="U32" s="54">
        <f>+IF(ISERR(T32/S32*100),"N/A",ROUND(T32/S32*100,1))</f>
        <v>88.5</v>
      </c>
    </row>
    <row r="33" spans="2:21" ht="18" customHeight="1" thickBot="1" x14ac:dyDescent="0.25">
      <c r="B33" s="69" t="s">
        <v>64</v>
      </c>
      <c r="C33" s="70"/>
      <c r="D33" s="70"/>
      <c r="E33" s="37"/>
      <c r="F33" s="37"/>
      <c r="G33" s="37"/>
      <c r="H33" s="38"/>
      <c r="I33" s="38"/>
      <c r="J33" s="38"/>
      <c r="K33" s="38"/>
      <c r="L33" s="38"/>
      <c r="M33" s="38"/>
      <c r="N33" s="38"/>
      <c r="O33" s="38"/>
      <c r="P33" s="39"/>
      <c r="Q33" s="39"/>
      <c r="R33" s="39"/>
      <c r="S33" s="53">
        <v>3139.9771630299992</v>
      </c>
      <c r="T33" s="53">
        <v>3139.9076743300002</v>
      </c>
      <c r="U33" s="54">
        <f>+IF(ISERR(T33/S33*100),"N/A",ROUND(T33/S33*100,1))</f>
        <v>100</v>
      </c>
    </row>
    <row r="34" spans="2:21" ht="14.85" customHeight="1" thickTop="1" thickBot="1" x14ac:dyDescent="0.25">
      <c r="B34" s="4" t="s">
        <v>65</v>
      </c>
      <c r="C34" s="5"/>
      <c r="D34" s="5"/>
      <c r="E34" s="5"/>
      <c r="F34" s="5"/>
      <c r="G34" s="5"/>
      <c r="H34" s="6"/>
      <c r="I34" s="6"/>
      <c r="J34" s="6"/>
      <c r="K34" s="6"/>
      <c r="L34" s="6"/>
      <c r="M34" s="6"/>
      <c r="N34" s="6"/>
      <c r="O34" s="6"/>
      <c r="P34" s="6"/>
      <c r="Q34" s="6"/>
      <c r="R34" s="6"/>
      <c r="S34" s="6"/>
      <c r="T34" s="6"/>
      <c r="U34" s="7"/>
    </row>
    <row r="35" spans="2:21" ht="44.25" customHeight="1" thickTop="1" x14ac:dyDescent="0.2">
      <c r="B35" s="71" t="s">
        <v>66</v>
      </c>
      <c r="C35" s="72"/>
      <c r="D35" s="72"/>
      <c r="E35" s="72"/>
      <c r="F35" s="72"/>
      <c r="G35" s="72"/>
      <c r="H35" s="72"/>
      <c r="I35" s="72"/>
      <c r="J35" s="72"/>
      <c r="K35" s="72"/>
      <c r="L35" s="72"/>
      <c r="M35" s="72"/>
      <c r="N35" s="72"/>
      <c r="O35" s="72"/>
      <c r="P35" s="72"/>
      <c r="Q35" s="72"/>
      <c r="R35" s="72"/>
      <c r="S35" s="72"/>
      <c r="T35" s="72"/>
      <c r="U35" s="73"/>
    </row>
    <row r="36" spans="2:21" ht="108" customHeight="1" x14ac:dyDescent="0.2">
      <c r="B36" s="59" t="s">
        <v>785</v>
      </c>
      <c r="C36" s="60"/>
      <c r="D36" s="60"/>
      <c r="E36" s="60"/>
      <c r="F36" s="60"/>
      <c r="G36" s="60"/>
      <c r="H36" s="60"/>
      <c r="I36" s="60"/>
      <c r="J36" s="60"/>
      <c r="K36" s="60"/>
      <c r="L36" s="60"/>
      <c r="M36" s="60"/>
      <c r="N36" s="60"/>
      <c r="O36" s="60"/>
      <c r="P36" s="60"/>
      <c r="Q36" s="60"/>
      <c r="R36" s="60"/>
      <c r="S36" s="60"/>
      <c r="T36" s="60"/>
      <c r="U36" s="61"/>
    </row>
    <row r="37" spans="2:21" ht="114.6" customHeight="1" x14ac:dyDescent="0.2">
      <c r="B37" s="59" t="s">
        <v>786</v>
      </c>
      <c r="C37" s="60"/>
      <c r="D37" s="60"/>
      <c r="E37" s="60"/>
      <c r="F37" s="60"/>
      <c r="G37" s="60"/>
      <c r="H37" s="60"/>
      <c r="I37" s="60"/>
      <c r="J37" s="60"/>
      <c r="K37" s="60"/>
      <c r="L37" s="60"/>
      <c r="M37" s="60"/>
      <c r="N37" s="60"/>
      <c r="O37" s="60"/>
      <c r="P37" s="60"/>
      <c r="Q37" s="60"/>
      <c r="R37" s="60"/>
      <c r="S37" s="60"/>
      <c r="T37" s="60"/>
      <c r="U37" s="61"/>
    </row>
    <row r="38" spans="2:21" ht="84.75" customHeight="1" x14ac:dyDescent="0.2">
      <c r="B38" s="59" t="s">
        <v>787</v>
      </c>
      <c r="C38" s="60"/>
      <c r="D38" s="60"/>
      <c r="E38" s="60"/>
      <c r="F38" s="60"/>
      <c r="G38" s="60"/>
      <c r="H38" s="60"/>
      <c r="I38" s="60"/>
      <c r="J38" s="60"/>
      <c r="K38" s="60"/>
      <c r="L38" s="60"/>
      <c r="M38" s="60"/>
      <c r="N38" s="60"/>
      <c r="O38" s="60"/>
      <c r="P38" s="60"/>
      <c r="Q38" s="60"/>
      <c r="R38" s="60"/>
      <c r="S38" s="60"/>
      <c r="T38" s="60"/>
      <c r="U38" s="61"/>
    </row>
    <row r="39" spans="2:21" ht="84.75" customHeight="1" x14ac:dyDescent="0.2">
      <c r="B39" s="59" t="s">
        <v>788</v>
      </c>
      <c r="C39" s="60"/>
      <c r="D39" s="60"/>
      <c r="E39" s="60"/>
      <c r="F39" s="60"/>
      <c r="G39" s="60"/>
      <c r="H39" s="60"/>
      <c r="I39" s="60"/>
      <c r="J39" s="60"/>
      <c r="K39" s="60"/>
      <c r="L39" s="60"/>
      <c r="M39" s="60"/>
      <c r="N39" s="60"/>
      <c r="O39" s="60"/>
      <c r="P39" s="60"/>
      <c r="Q39" s="60"/>
      <c r="R39" s="60"/>
      <c r="S39" s="60"/>
      <c r="T39" s="60"/>
      <c r="U39" s="61"/>
    </row>
    <row r="40" spans="2:21" ht="84.75" customHeight="1" x14ac:dyDescent="0.2">
      <c r="B40" s="59" t="s">
        <v>789</v>
      </c>
      <c r="C40" s="60"/>
      <c r="D40" s="60"/>
      <c r="E40" s="60"/>
      <c r="F40" s="60"/>
      <c r="G40" s="60"/>
      <c r="H40" s="60"/>
      <c r="I40" s="60"/>
      <c r="J40" s="60"/>
      <c r="K40" s="60"/>
      <c r="L40" s="60"/>
      <c r="M40" s="60"/>
      <c r="N40" s="60"/>
      <c r="O40" s="60"/>
      <c r="P40" s="60"/>
      <c r="Q40" s="60"/>
      <c r="R40" s="60"/>
      <c r="S40" s="60"/>
      <c r="T40" s="60"/>
      <c r="U40" s="61"/>
    </row>
    <row r="41" spans="2:21" ht="84.75" customHeight="1" x14ac:dyDescent="0.2">
      <c r="B41" s="59" t="s">
        <v>790</v>
      </c>
      <c r="C41" s="60"/>
      <c r="D41" s="60"/>
      <c r="E41" s="60"/>
      <c r="F41" s="60"/>
      <c r="G41" s="60"/>
      <c r="H41" s="60"/>
      <c r="I41" s="60"/>
      <c r="J41" s="60"/>
      <c r="K41" s="60"/>
      <c r="L41" s="60"/>
      <c r="M41" s="60"/>
      <c r="N41" s="60"/>
      <c r="O41" s="60"/>
      <c r="P41" s="60"/>
      <c r="Q41" s="60"/>
      <c r="R41" s="60"/>
      <c r="S41" s="60"/>
      <c r="T41" s="60"/>
      <c r="U41" s="61"/>
    </row>
    <row r="42" spans="2:21" ht="72" customHeight="1" x14ac:dyDescent="0.2">
      <c r="B42" s="59" t="s">
        <v>791</v>
      </c>
      <c r="C42" s="60"/>
      <c r="D42" s="60"/>
      <c r="E42" s="60"/>
      <c r="F42" s="60"/>
      <c r="G42" s="60"/>
      <c r="H42" s="60"/>
      <c r="I42" s="60"/>
      <c r="J42" s="60"/>
      <c r="K42" s="60"/>
      <c r="L42" s="60"/>
      <c r="M42" s="60"/>
      <c r="N42" s="60"/>
      <c r="O42" s="60"/>
      <c r="P42" s="60"/>
      <c r="Q42" s="60"/>
      <c r="R42" s="60"/>
      <c r="S42" s="60"/>
      <c r="T42" s="60"/>
      <c r="U42" s="61"/>
    </row>
    <row r="43" spans="2:21" ht="68.25" customHeight="1" x14ac:dyDescent="0.2">
      <c r="B43" s="59" t="s">
        <v>792</v>
      </c>
      <c r="C43" s="60"/>
      <c r="D43" s="60"/>
      <c r="E43" s="60"/>
      <c r="F43" s="60"/>
      <c r="G43" s="60"/>
      <c r="H43" s="60"/>
      <c r="I43" s="60"/>
      <c r="J43" s="60"/>
      <c r="K43" s="60"/>
      <c r="L43" s="60"/>
      <c r="M43" s="60"/>
      <c r="N43" s="60"/>
      <c r="O43" s="60"/>
      <c r="P43" s="60"/>
      <c r="Q43" s="60"/>
      <c r="R43" s="60"/>
      <c r="S43" s="60"/>
      <c r="T43" s="60"/>
      <c r="U43" s="61"/>
    </row>
    <row r="44" spans="2:21" ht="61.5" customHeight="1" x14ac:dyDescent="0.2">
      <c r="B44" s="59" t="s">
        <v>793</v>
      </c>
      <c r="C44" s="60"/>
      <c r="D44" s="60"/>
      <c r="E44" s="60"/>
      <c r="F44" s="60"/>
      <c r="G44" s="60"/>
      <c r="H44" s="60"/>
      <c r="I44" s="60"/>
      <c r="J44" s="60"/>
      <c r="K44" s="60"/>
      <c r="L44" s="60"/>
      <c r="M44" s="60"/>
      <c r="N44" s="60"/>
      <c r="O44" s="60"/>
      <c r="P44" s="60"/>
      <c r="Q44" s="60"/>
      <c r="R44" s="60"/>
      <c r="S44" s="60"/>
      <c r="T44" s="60"/>
      <c r="U44" s="61"/>
    </row>
    <row r="45" spans="2:21" ht="52.5" customHeight="1" x14ac:dyDescent="0.2">
      <c r="B45" s="59" t="s">
        <v>794</v>
      </c>
      <c r="C45" s="60"/>
      <c r="D45" s="60"/>
      <c r="E45" s="60"/>
      <c r="F45" s="60"/>
      <c r="G45" s="60"/>
      <c r="H45" s="60"/>
      <c r="I45" s="60"/>
      <c r="J45" s="60"/>
      <c r="K45" s="60"/>
      <c r="L45" s="60"/>
      <c r="M45" s="60"/>
      <c r="N45" s="60"/>
      <c r="O45" s="60"/>
      <c r="P45" s="60"/>
      <c r="Q45" s="60"/>
      <c r="R45" s="60"/>
      <c r="S45" s="60"/>
      <c r="T45" s="60"/>
      <c r="U45" s="61"/>
    </row>
    <row r="46" spans="2:21" ht="84.75" customHeight="1" x14ac:dyDescent="0.2">
      <c r="B46" s="59" t="s">
        <v>795</v>
      </c>
      <c r="C46" s="60"/>
      <c r="D46" s="60"/>
      <c r="E46" s="60"/>
      <c r="F46" s="60"/>
      <c r="G46" s="60"/>
      <c r="H46" s="60"/>
      <c r="I46" s="60"/>
      <c r="J46" s="60"/>
      <c r="K46" s="60"/>
      <c r="L46" s="60"/>
      <c r="M46" s="60"/>
      <c r="N46" s="60"/>
      <c r="O46" s="60"/>
      <c r="P46" s="60"/>
      <c r="Q46" s="60"/>
      <c r="R46" s="60"/>
      <c r="S46" s="60"/>
      <c r="T46" s="60"/>
      <c r="U46" s="61"/>
    </row>
    <row r="47" spans="2:21" ht="97.7" customHeight="1" x14ac:dyDescent="0.2">
      <c r="B47" s="59" t="s">
        <v>796</v>
      </c>
      <c r="C47" s="60"/>
      <c r="D47" s="60"/>
      <c r="E47" s="60"/>
      <c r="F47" s="60"/>
      <c r="G47" s="60"/>
      <c r="H47" s="60"/>
      <c r="I47" s="60"/>
      <c r="J47" s="60"/>
      <c r="K47" s="60"/>
      <c r="L47" s="60"/>
      <c r="M47" s="60"/>
      <c r="N47" s="60"/>
      <c r="O47" s="60"/>
      <c r="P47" s="60"/>
      <c r="Q47" s="60"/>
      <c r="R47" s="60"/>
      <c r="S47" s="60"/>
      <c r="T47" s="60"/>
      <c r="U47" s="61"/>
    </row>
    <row r="48" spans="2:21" ht="58.5" customHeight="1" x14ac:dyDescent="0.2">
      <c r="B48" s="59" t="s">
        <v>797</v>
      </c>
      <c r="C48" s="60"/>
      <c r="D48" s="60"/>
      <c r="E48" s="60"/>
      <c r="F48" s="60"/>
      <c r="G48" s="60"/>
      <c r="H48" s="60"/>
      <c r="I48" s="60"/>
      <c r="J48" s="60"/>
      <c r="K48" s="60"/>
      <c r="L48" s="60"/>
      <c r="M48" s="60"/>
      <c r="N48" s="60"/>
      <c r="O48" s="60"/>
      <c r="P48" s="60"/>
      <c r="Q48" s="60"/>
      <c r="R48" s="60"/>
      <c r="S48" s="60"/>
      <c r="T48" s="60"/>
      <c r="U48" s="61"/>
    </row>
    <row r="49" spans="2:21" ht="175.5" customHeight="1" x14ac:dyDescent="0.2">
      <c r="B49" s="59" t="s">
        <v>798</v>
      </c>
      <c r="C49" s="60"/>
      <c r="D49" s="60"/>
      <c r="E49" s="60"/>
      <c r="F49" s="60"/>
      <c r="G49" s="60"/>
      <c r="H49" s="60"/>
      <c r="I49" s="60"/>
      <c r="J49" s="60"/>
      <c r="K49" s="60"/>
      <c r="L49" s="60"/>
      <c r="M49" s="60"/>
      <c r="N49" s="60"/>
      <c r="O49" s="60"/>
      <c r="P49" s="60"/>
      <c r="Q49" s="60"/>
      <c r="R49" s="60"/>
      <c r="S49" s="60"/>
      <c r="T49" s="60"/>
      <c r="U49" s="61"/>
    </row>
    <row r="50" spans="2:21" ht="66" customHeight="1" x14ac:dyDescent="0.2">
      <c r="B50" s="59" t="s">
        <v>799</v>
      </c>
      <c r="C50" s="60"/>
      <c r="D50" s="60"/>
      <c r="E50" s="60"/>
      <c r="F50" s="60"/>
      <c r="G50" s="60"/>
      <c r="H50" s="60"/>
      <c r="I50" s="60"/>
      <c r="J50" s="60"/>
      <c r="K50" s="60"/>
      <c r="L50" s="60"/>
      <c r="M50" s="60"/>
      <c r="N50" s="60"/>
      <c r="O50" s="60"/>
      <c r="P50" s="60"/>
      <c r="Q50" s="60"/>
      <c r="R50" s="60"/>
      <c r="S50" s="60"/>
      <c r="T50" s="60"/>
      <c r="U50" s="61"/>
    </row>
    <row r="51" spans="2:21" ht="69.75" customHeight="1" x14ac:dyDescent="0.2">
      <c r="B51" s="59" t="s">
        <v>800</v>
      </c>
      <c r="C51" s="60"/>
      <c r="D51" s="60"/>
      <c r="E51" s="60"/>
      <c r="F51" s="60"/>
      <c r="G51" s="60"/>
      <c r="H51" s="60"/>
      <c r="I51" s="60"/>
      <c r="J51" s="60"/>
      <c r="K51" s="60"/>
      <c r="L51" s="60"/>
      <c r="M51" s="60"/>
      <c r="N51" s="60"/>
      <c r="O51" s="60"/>
      <c r="P51" s="60"/>
      <c r="Q51" s="60"/>
      <c r="R51" s="60"/>
      <c r="S51" s="60"/>
      <c r="T51" s="60"/>
      <c r="U51" s="61"/>
    </row>
    <row r="52" spans="2:21" ht="156.75" customHeight="1" x14ac:dyDescent="0.2">
      <c r="B52" s="59" t="s">
        <v>801</v>
      </c>
      <c r="C52" s="60"/>
      <c r="D52" s="60"/>
      <c r="E52" s="60"/>
      <c r="F52" s="60"/>
      <c r="G52" s="60"/>
      <c r="H52" s="60"/>
      <c r="I52" s="60"/>
      <c r="J52" s="60"/>
      <c r="K52" s="60"/>
      <c r="L52" s="60"/>
      <c r="M52" s="60"/>
      <c r="N52" s="60"/>
      <c r="O52" s="60"/>
      <c r="P52" s="60"/>
      <c r="Q52" s="60"/>
      <c r="R52" s="60"/>
      <c r="S52" s="60"/>
      <c r="T52" s="60"/>
      <c r="U52" s="61"/>
    </row>
    <row r="53" spans="2:21" ht="64.5" customHeight="1" thickBot="1" x14ac:dyDescent="0.25">
      <c r="B53" s="62" t="s">
        <v>802</v>
      </c>
      <c r="C53" s="63"/>
      <c r="D53" s="63"/>
      <c r="E53" s="63"/>
      <c r="F53" s="63"/>
      <c r="G53" s="63"/>
      <c r="H53" s="63"/>
      <c r="I53" s="63"/>
      <c r="J53" s="63"/>
      <c r="K53" s="63"/>
      <c r="L53" s="63"/>
      <c r="M53" s="63"/>
      <c r="N53" s="63"/>
      <c r="O53" s="63"/>
      <c r="P53" s="63"/>
      <c r="Q53" s="63"/>
      <c r="R53" s="63"/>
      <c r="S53" s="63"/>
      <c r="T53" s="63"/>
      <c r="U53" s="64"/>
    </row>
  </sheetData>
  <mergeCells count="96">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C18:H18"/>
    <mergeCell ref="I18:K18"/>
    <mergeCell ref="L18:O18"/>
    <mergeCell ref="C19:H19"/>
    <mergeCell ref="I19:K19"/>
    <mergeCell ref="L19:O19"/>
    <mergeCell ref="C20:H20"/>
    <mergeCell ref="I20:K20"/>
    <mergeCell ref="L20:O20"/>
    <mergeCell ref="C21:H21"/>
    <mergeCell ref="I21:K21"/>
    <mergeCell ref="L21:O21"/>
    <mergeCell ref="C22:H22"/>
    <mergeCell ref="I22:K22"/>
    <mergeCell ref="L22:O22"/>
    <mergeCell ref="C23:H23"/>
    <mergeCell ref="I23:K23"/>
    <mergeCell ref="L23:O23"/>
    <mergeCell ref="C24:H24"/>
    <mergeCell ref="I24:K24"/>
    <mergeCell ref="L24:O24"/>
    <mergeCell ref="C25:H25"/>
    <mergeCell ref="I25:K25"/>
    <mergeCell ref="L25:O25"/>
    <mergeCell ref="C26:H26"/>
    <mergeCell ref="I26:K26"/>
    <mergeCell ref="L26:O26"/>
    <mergeCell ref="C27:H27"/>
    <mergeCell ref="I27:K27"/>
    <mergeCell ref="L27:O27"/>
    <mergeCell ref="B41:U41"/>
    <mergeCell ref="C28:H28"/>
    <mergeCell ref="I28:K28"/>
    <mergeCell ref="L28:O28"/>
    <mergeCell ref="B32:D32"/>
    <mergeCell ref="B33:D33"/>
    <mergeCell ref="B35:U35"/>
    <mergeCell ref="B36:U36"/>
    <mergeCell ref="B37:U37"/>
    <mergeCell ref="B38:U38"/>
    <mergeCell ref="B39:U39"/>
    <mergeCell ref="B40:U40"/>
    <mergeCell ref="B53:U53"/>
    <mergeCell ref="B42:U42"/>
    <mergeCell ref="B43:U43"/>
    <mergeCell ref="B44:U44"/>
    <mergeCell ref="B45:U45"/>
    <mergeCell ref="B46:U46"/>
    <mergeCell ref="B47:U47"/>
    <mergeCell ref="B48:U48"/>
    <mergeCell ref="B49:U49"/>
    <mergeCell ref="B50:U50"/>
    <mergeCell ref="B51:U51"/>
    <mergeCell ref="B52:U52"/>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5"/>
  <sheetViews>
    <sheetView zoomScale="90" zoomScaleNormal="90" zoomScaleSheetLayoutView="80" workbookViewId="0">
      <selection activeCell="U12" sqref="U12"/>
    </sheetView>
  </sheetViews>
  <sheetFormatPr baseColWidth="10" defaultColWidth="10" defaultRowHeight="12.75" x14ac:dyDescent="0.2"/>
  <cols>
    <col min="1" max="1" width="3.5" style="1" customWidth="1"/>
    <col min="2" max="2" width="14.6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8.62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375" style="1" customWidth="1"/>
    <col min="19" max="19" width="13" style="1" customWidth="1"/>
    <col min="20" max="20" width="10.75" style="1" customWidth="1"/>
    <col min="21" max="21" width="12.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5" t="s">
        <v>0</v>
      </c>
      <c r="C1" s="55"/>
      <c r="D1" s="55"/>
      <c r="E1" s="55"/>
      <c r="F1" s="55"/>
      <c r="G1" s="55"/>
      <c r="H1" s="55"/>
      <c r="I1" s="55"/>
      <c r="J1" s="55"/>
      <c r="K1" s="55"/>
      <c r="L1" s="55"/>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42" t="s">
        <v>6</v>
      </c>
      <c r="C4" s="43" t="s">
        <v>803</v>
      </c>
      <c r="D4" s="102" t="s">
        <v>804</v>
      </c>
      <c r="E4" s="102"/>
      <c r="F4" s="102"/>
      <c r="G4" s="102"/>
      <c r="H4" s="102"/>
      <c r="I4" s="44"/>
      <c r="J4" s="45" t="s">
        <v>9</v>
      </c>
      <c r="K4" s="46" t="s">
        <v>10</v>
      </c>
      <c r="L4" s="103" t="s">
        <v>11</v>
      </c>
      <c r="M4" s="103"/>
      <c r="N4" s="103"/>
      <c r="O4" s="103"/>
      <c r="P4" s="45" t="s">
        <v>12</v>
      </c>
      <c r="Q4" s="103" t="s">
        <v>481</v>
      </c>
      <c r="R4" s="103"/>
      <c r="S4" s="45" t="s">
        <v>14</v>
      </c>
      <c r="T4" s="103"/>
      <c r="U4" s="104"/>
    </row>
    <row r="5" spans="1:21" ht="15.75" customHeight="1" x14ac:dyDescent="0.2">
      <c r="B5" s="99" t="s">
        <v>15</v>
      </c>
      <c r="C5" s="100"/>
      <c r="D5" s="100"/>
      <c r="E5" s="100"/>
      <c r="F5" s="100"/>
      <c r="G5" s="100"/>
      <c r="H5" s="100"/>
      <c r="I5" s="100"/>
      <c r="J5" s="100"/>
      <c r="K5" s="100"/>
      <c r="L5" s="100"/>
      <c r="M5" s="100"/>
      <c r="N5" s="100"/>
      <c r="O5" s="100"/>
      <c r="P5" s="100"/>
      <c r="Q5" s="100"/>
      <c r="R5" s="100"/>
      <c r="S5" s="100"/>
      <c r="T5" s="100"/>
      <c r="U5" s="101"/>
    </row>
    <row r="6" spans="1:21" ht="37.5" customHeight="1" thickBot="1" x14ac:dyDescent="0.25">
      <c r="B6" s="47" t="s">
        <v>16</v>
      </c>
      <c r="C6" s="76" t="s">
        <v>17</v>
      </c>
      <c r="D6" s="76"/>
      <c r="E6" s="76"/>
      <c r="F6" s="76"/>
      <c r="G6" s="76"/>
      <c r="H6" s="48"/>
      <c r="I6" s="48"/>
      <c r="J6" s="48" t="s">
        <v>18</v>
      </c>
      <c r="K6" s="76" t="s">
        <v>19</v>
      </c>
      <c r="L6" s="76"/>
      <c r="M6" s="76"/>
      <c r="N6" s="49"/>
      <c r="O6" s="48" t="s">
        <v>20</v>
      </c>
      <c r="P6" s="76" t="s">
        <v>21</v>
      </c>
      <c r="Q6" s="76"/>
      <c r="R6" s="50"/>
      <c r="S6" s="48" t="s">
        <v>22</v>
      </c>
      <c r="T6" s="76" t="s">
        <v>805</v>
      </c>
      <c r="U6" s="77"/>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8" t="s">
        <v>25</v>
      </c>
      <c r="C8" s="81" t="s">
        <v>26</v>
      </c>
      <c r="D8" s="81"/>
      <c r="E8" s="81"/>
      <c r="F8" s="81"/>
      <c r="G8" s="81"/>
      <c r="H8" s="82"/>
      <c r="I8" s="87" t="s">
        <v>27</v>
      </c>
      <c r="J8" s="88"/>
      <c r="K8" s="88"/>
      <c r="L8" s="88"/>
      <c r="M8" s="88"/>
      <c r="N8" s="88"/>
      <c r="O8" s="88"/>
      <c r="P8" s="88"/>
      <c r="Q8" s="88"/>
      <c r="R8" s="88"/>
      <c r="S8" s="89"/>
      <c r="T8" s="90" t="s">
        <v>28</v>
      </c>
      <c r="U8" s="91"/>
    </row>
    <row r="9" spans="1:21" ht="19.5" customHeight="1" x14ac:dyDescent="0.2">
      <c r="B9" s="79"/>
      <c r="C9" s="83"/>
      <c r="D9" s="83"/>
      <c r="E9" s="83"/>
      <c r="F9" s="83"/>
      <c r="G9" s="83"/>
      <c r="H9" s="84"/>
      <c r="I9" s="92" t="s">
        <v>29</v>
      </c>
      <c r="J9" s="81"/>
      <c r="K9" s="81"/>
      <c r="L9" s="81" t="s">
        <v>30</v>
      </c>
      <c r="M9" s="81"/>
      <c r="N9" s="81"/>
      <c r="O9" s="81"/>
      <c r="P9" s="81" t="s">
        <v>31</v>
      </c>
      <c r="Q9" s="81" t="s">
        <v>32</v>
      </c>
      <c r="R9" s="95" t="s">
        <v>33</v>
      </c>
      <c r="S9" s="96"/>
      <c r="T9" s="81" t="s">
        <v>34</v>
      </c>
      <c r="U9" s="97" t="s">
        <v>35</v>
      </c>
    </row>
    <row r="10" spans="1:21" ht="26.25" customHeight="1" thickBot="1" x14ac:dyDescent="0.25">
      <c r="B10" s="80"/>
      <c r="C10" s="85"/>
      <c r="D10" s="85"/>
      <c r="E10" s="85"/>
      <c r="F10" s="85"/>
      <c r="G10" s="85"/>
      <c r="H10" s="86"/>
      <c r="I10" s="93"/>
      <c r="J10" s="94"/>
      <c r="K10" s="94"/>
      <c r="L10" s="94"/>
      <c r="M10" s="94"/>
      <c r="N10" s="94"/>
      <c r="O10" s="94"/>
      <c r="P10" s="94"/>
      <c r="Q10" s="94"/>
      <c r="R10" s="14" t="s">
        <v>36</v>
      </c>
      <c r="S10" s="15" t="s">
        <v>37</v>
      </c>
      <c r="T10" s="94"/>
      <c r="U10" s="98"/>
    </row>
    <row r="11" spans="1:21" ht="132" customHeight="1" thickTop="1" thickBot="1" x14ac:dyDescent="0.25">
      <c r="A11" s="16"/>
      <c r="B11" s="17" t="s">
        <v>75</v>
      </c>
      <c r="C11" s="74" t="s">
        <v>806</v>
      </c>
      <c r="D11" s="74"/>
      <c r="E11" s="74"/>
      <c r="F11" s="74"/>
      <c r="G11" s="74"/>
      <c r="H11" s="74"/>
      <c r="I11" s="74" t="s">
        <v>807</v>
      </c>
      <c r="J11" s="74"/>
      <c r="K11" s="74"/>
      <c r="L11" s="75" t="s">
        <v>808</v>
      </c>
      <c r="M11" s="75"/>
      <c r="N11" s="75"/>
      <c r="O11" s="75"/>
      <c r="P11" s="18" t="s">
        <v>48</v>
      </c>
      <c r="Q11" s="18" t="s">
        <v>297</v>
      </c>
      <c r="R11" s="18" t="s">
        <v>80</v>
      </c>
      <c r="S11" s="18" t="s">
        <v>80</v>
      </c>
      <c r="T11" s="18" t="s">
        <v>80</v>
      </c>
      <c r="U11" s="51">
        <v>0</v>
      </c>
    </row>
    <row r="12" spans="1:21" ht="121.5" customHeight="1" thickTop="1" x14ac:dyDescent="0.2">
      <c r="A12" s="16"/>
      <c r="B12" s="17" t="s">
        <v>81</v>
      </c>
      <c r="C12" s="74" t="s">
        <v>809</v>
      </c>
      <c r="D12" s="74"/>
      <c r="E12" s="74"/>
      <c r="F12" s="74"/>
      <c r="G12" s="74"/>
      <c r="H12" s="74"/>
      <c r="I12" s="74" t="s">
        <v>810</v>
      </c>
      <c r="J12" s="74"/>
      <c r="K12" s="74"/>
      <c r="L12" s="75" t="s">
        <v>811</v>
      </c>
      <c r="M12" s="75"/>
      <c r="N12" s="75"/>
      <c r="O12" s="75"/>
      <c r="P12" s="18" t="s">
        <v>132</v>
      </c>
      <c r="Q12" s="18" t="s">
        <v>170</v>
      </c>
      <c r="R12" s="41">
        <v>4426982</v>
      </c>
      <c r="S12" s="41">
        <v>4426982</v>
      </c>
      <c r="T12" s="41">
        <v>4851025</v>
      </c>
      <c r="U12" s="19">
        <f>109.6</f>
        <v>109.6</v>
      </c>
    </row>
    <row r="13" spans="1:21" ht="145.5" customHeight="1" thickBot="1" x14ac:dyDescent="0.25">
      <c r="A13" s="16"/>
      <c r="B13" s="20" t="s">
        <v>49</v>
      </c>
      <c r="C13" s="65" t="s">
        <v>49</v>
      </c>
      <c r="D13" s="65"/>
      <c r="E13" s="65"/>
      <c r="F13" s="65"/>
      <c r="G13" s="65"/>
      <c r="H13" s="65"/>
      <c r="I13" s="65" t="s">
        <v>812</v>
      </c>
      <c r="J13" s="65"/>
      <c r="K13" s="65"/>
      <c r="L13" s="66" t="s">
        <v>813</v>
      </c>
      <c r="M13" s="66"/>
      <c r="N13" s="66"/>
      <c r="O13" s="66"/>
      <c r="P13" s="21" t="s">
        <v>48</v>
      </c>
      <c r="Q13" s="21" t="s">
        <v>297</v>
      </c>
      <c r="R13" s="21" t="s">
        <v>80</v>
      </c>
      <c r="S13" s="21" t="s">
        <v>80</v>
      </c>
      <c r="T13" s="21" t="s">
        <v>80</v>
      </c>
      <c r="U13" s="22">
        <v>0</v>
      </c>
    </row>
    <row r="14" spans="1:21" ht="102.75" customHeight="1" thickTop="1" x14ac:dyDescent="0.2">
      <c r="A14" s="16"/>
      <c r="B14" s="17" t="s">
        <v>38</v>
      </c>
      <c r="C14" s="74" t="s">
        <v>814</v>
      </c>
      <c r="D14" s="74"/>
      <c r="E14" s="74"/>
      <c r="F14" s="74"/>
      <c r="G14" s="74"/>
      <c r="H14" s="74"/>
      <c r="I14" s="74" t="s">
        <v>815</v>
      </c>
      <c r="J14" s="74"/>
      <c r="K14" s="74"/>
      <c r="L14" s="75" t="s">
        <v>816</v>
      </c>
      <c r="M14" s="75"/>
      <c r="N14" s="75"/>
      <c r="O14" s="75"/>
      <c r="P14" s="18" t="s">
        <v>48</v>
      </c>
      <c r="Q14" s="18" t="s">
        <v>614</v>
      </c>
      <c r="R14" s="18">
        <v>95</v>
      </c>
      <c r="S14" s="18">
        <v>95</v>
      </c>
      <c r="T14" s="18">
        <v>87.6</v>
      </c>
      <c r="U14" s="19">
        <f>92.2</f>
        <v>92.2</v>
      </c>
    </row>
    <row r="15" spans="1:21" ht="75" customHeight="1" x14ac:dyDescent="0.2">
      <c r="A15" s="16"/>
      <c r="B15" s="20" t="s">
        <v>49</v>
      </c>
      <c r="C15" s="65" t="s">
        <v>817</v>
      </c>
      <c r="D15" s="65"/>
      <c r="E15" s="65"/>
      <c r="F15" s="65"/>
      <c r="G15" s="65"/>
      <c r="H15" s="65"/>
      <c r="I15" s="65" t="s">
        <v>818</v>
      </c>
      <c r="J15" s="65"/>
      <c r="K15" s="65"/>
      <c r="L15" s="66" t="s">
        <v>819</v>
      </c>
      <c r="M15" s="66"/>
      <c r="N15" s="66"/>
      <c r="O15" s="66"/>
      <c r="P15" s="21" t="s">
        <v>104</v>
      </c>
      <c r="Q15" s="21" t="s">
        <v>590</v>
      </c>
      <c r="R15" s="40" t="s">
        <v>80</v>
      </c>
      <c r="S15" s="40">
        <v>2701367</v>
      </c>
      <c r="T15" s="40">
        <v>2203069</v>
      </c>
      <c r="U15" s="22">
        <f>81.6</f>
        <v>81.599999999999994</v>
      </c>
    </row>
    <row r="16" spans="1:21" ht="75" customHeight="1" x14ac:dyDescent="0.2">
      <c r="A16" s="16"/>
      <c r="B16" s="20" t="s">
        <v>49</v>
      </c>
      <c r="C16" s="65" t="s">
        <v>820</v>
      </c>
      <c r="D16" s="65"/>
      <c r="E16" s="65"/>
      <c r="F16" s="65"/>
      <c r="G16" s="65"/>
      <c r="H16" s="65"/>
      <c r="I16" s="65" t="s">
        <v>821</v>
      </c>
      <c r="J16" s="65"/>
      <c r="K16" s="65"/>
      <c r="L16" s="66" t="s">
        <v>822</v>
      </c>
      <c r="M16" s="66"/>
      <c r="N16" s="66"/>
      <c r="O16" s="66"/>
      <c r="P16" s="21" t="s">
        <v>48</v>
      </c>
      <c r="Q16" s="21" t="s">
        <v>701</v>
      </c>
      <c r="R16" s="21" t="s">
        <v>80</v>
      </c>
      <c r="S16" s="21">
        <v>70</v>
      </c>
      <c r="T16" s="21">
        <v>72</v>
      </c>
      <c r="U16" s="22">
        <f>102.9</f>
        <v>102.9</v>
      </c>
    </row>
    <row r="17" spans="1:22" ht="75" customHeight="1" thickBot="1" x14ac:dyDescent="0.25">
      <c r="A17" s="16"/>
      <c r="B17" s="20" t="s">
        <v>49</v>
      </c>
      <c r="C17" s="65" t="s">
        <v>823</v>
      </c>
      <c r="D17" s="65"/>
      <c r="E17" s="65"/>
      <c r="F17" s="65"/>
      <c r="G17" s="65"/>
      <c r="H17" s="65"/>
      <c r="I17" s="65" t="s">
        <v>824</v>
      </c>
      <c r="J17" s="65"/>
      <c r="K17" s="65"/>
      <c r="L17" s="66" t="s">
        <v>825</v>
      </c>
      <c r="M17" s="66"/>
      <c r="N17" s="66"/>
      <c r="O17" s="66"/>
      <c r="P17" s="21" t="s">
        <v>104</v>
      </c>
      <c r="Q17" s="21" t="s">
        <v>586</v>
      </c>
      <c r="R17" s="40" t="s">
        <v>80</v>
      </c>
      <c r="S17" s="40">
        <v>243</v>
      </c>
      <c r="T17" s="40">
        <v>332</v>
      </c>
      <c r="U17" s="22">
        <f>136.6</f>
        <v>136.6</v>
      </c>
    </row>
    <row r="18" spans="1:22" ht="75" customHeight="1" thickTop="1" x14ac:dyDescent="0.2">
      <c r="A18" s="16"/>
      <c r="B18" s="17" t="s">
        <v>44</v>
      </c>
      <c r="C18" s="74" t="s">
        <v>826</v>
      </c>
      <c r="D18" s="74"/>
      <c r="E18" s="74"/>
      <c r="F18" s="74"/>
      <c r="G18" s="74"/>
      <c r="H18" s="74"/>
      <c r="I18" s="74" t="s">
        <v>827</v>
      </c>
      <c r="J18" s="74"/>
      <c r="K18" s="74"/>
      <c r="L18" s="75" t="s">
        <v>828</v>
      </c>
      <c r="M18" s="75"/>
      <c r="N18" s="75"/>
      <c r="O18" s="75"/>
      <c r="P18" s="18" t="s">
        <v>829</v>
      </c>
      <c r="Q18" s="18" t="s">
        <v>830</v>
      </c>
      <c r="R18" s="41">
        <v>96</v>
      </c>
      <c r="S18" s="41">
        <v>100</v>
      </c>
      <c r="T18" s="41">
        <v>122</v>
      </c>
      <c r="U18" s="51">
        <f>122</f>
        <v>122</v>
      </c>
    </row>
    <row r="19" spans="1:22" ht="75" customHeight="1" x14ac:dyDescent="0.2">
      <c r="A19" s="16"/>
      <c r="B19" s="20" t="s">
        <v>49</v>
      </c>
      <c r="C19" s="65" t="s">
        <v>49</v>
      </c>
      <c r="D19" s="65"/>
      <c r="E19" s="65"/>
      <c r="F19" s="65"/>
      <c r="G19" s="65"/>
      <c r="H19" s="65"/>
      <c r="I19" s="65" t="s">
        <v>509</v>
      </c>
      <c r="J19" s="65"/>
      <c r="K19" s="65"/>
      <c r="L19" s="66" t="s">
        <v>831</v>
      </c>
      <c r="M19" s="66"/>
      <c r="N19" s="66"/>
      <c r="O19" s="66"/>
      <c r="P19" s="21" t="s">
        <v>104</v>
      </c>
      <c r="Q19" s="21" t="s">
        <v>832</v>
      </c>
      <c r="R19" s="40">
        <v>10445</v>
      </c>
      <c r="S19" s="40">
        <v>10593</v>
      </c>
      <c r="T19" s="40">
        <v>9220</v>
      </c>
      <c r="U19" s="22">
        <f>87</f>
        <v>87</v>
      </c>
    </row>
    <row r="20" spans="1:22" ht="75" customHeight="1" x14ac:dyDescent="0.2">
      <c r="A20" s="16"/>
      <c r="B20" s="20" t="s">
        <v>49</v>
      </c>
      <c r="C20" s="65" t="s">
        <v>49</v>
      </c>
      <c r="D20" s="65"/>
      <c r="E20" s="65"/>
      <c r="F20" s="65"/>
      <c r="G20" s="65"/>
      <c r="H20" s="65"/>
      <c r="I20" s="65" t="s">
        <v>833</v>
      </c>
      <c r="J20" s="65"/>
      <c r="K20" s="65"/>
      <c r="L20" s="66" t="s">
        <v>834</v>
      </c>
      <c r="M20" s="66"/>
      <c r="N20" s="66"/>
      <c r="O20" s="66"/>
      <c r="P20" s="21" t="s">
        <v>835</v>
      </c>
      <c r="Q20" s="21" t="s">
        <v>701</v>
      </c>
      <c r="R20" s="40">
        <v>350</v>
      </c>
      <c r="S20" s="40">
        <v>684</v>
      </c>
      <c r="T20" s="40">
        <v>334</v>
      </c>
      <c r="U20" s="22">
        <f>48.8</f>
        <v>48.8</v>
      </c>
    </row>
    <row r="21" spans="1:22" ht="145.5" customHeight="1" thickBot="1" x14ac:dyDescent="0.25">
      <c r="A21" s="16"/>
      <c r="B21" s="20" t="s">
        <v>49</v>
      </c>
      <c r="C21" s="65" t="s">
        <v>49</v>
      </c>
      <c r="D21" s="65"/>
      <c r="E21" s="65"/>
      <c r="F21" s="65"/>
      <c r="G21" s="65"/>
      <c r="H21" s="65"/>
      <c r="I21" s="65" t="s">
        <v>836</v>
      </c>
      <c r="J21" s="65"/>
      <c r="K21" s="65"/>
      <c r="L21" s="66" t="s">
        <v>837</v>
      </c>
      <c r="M21" s="66"/>
      <c r="N21" s="66"/>
      <c r="O21" s="66"/>
      <c r="P21" s="21" t="s">
        <v>104</v>
      </c>
      <c r="Q21" s="21" t="s">
        <v>830</v>
      </c>
      <c r="R21" s="21" t="s">
        <v>80</v>
      </c>
      <c r="S21" s="21">
        <v>56.48</v>
      </c>
      <c r="T21" s="21">
        <v>76.7</v>
      </c>
      <c r="U21" s="22">
        <f>135.8</f>
        <v>135.80000000000001</v>
      </c>
    </row>
    <row r="22" spans="1:22" ht="14.25" customHeight="1" thickTop="1" thickBot="1" x14ac:dyDescent="0.25">
      <c r="B22" s="4" t="s">
        <v>58</v>
      </c>
      <c r="C22" s="5"/>
      <c r="D22" s="5"/>
      <c r="E22" s="5"/>
      <c r="F22" s="5"/>
      <c r="G22" s="5"/>
      <c r="H22" s="6"/>
      <c r="I22" s="6"/>
      <c r="J22" s="6"/>
      <c r="K22" s="6"/>
      <c r="L22" s="6"/>
      <c r="M22" s="6"/>
      <c r="N22" s="6"/>
      <c r="O22" s="6"/>
      <c r="P22" s="6"/>
      <c r="Q22" s="6"/>
      <c r="R22" s="6"/>
      <c r="S22" s="6"/>
      <c r="T22" s="6"/>
      <c r="U22" s="7"/>
      <c r="V22" s="23"/>
    </row>
    <row r="23" spans="1:22" ht="26.25" customHeight="1" thickTop="1" x14ac:dyDescent="0.2">
      <c r="B23" s="24"/>
      <c r="C23" s="25"/>
      <c r="D23" s="25"/>
      <c r="E23" s="25"/>
      <c r="F23" s="25"/>
      <c r="G23" s="25"/>
      <c r="H23" s="26"/>
      <c r="I23" s="26"/>
      <c r="J23" s="26"/>
      <c r="K23" s="26"/>
      <c r="L23" s="26"/>
      <c r="M23" s="26"/>
      <c r="N23" s="26"/>
      <c r="O23" s="26"/>
      <c r="P23" s="26"/>
      <c r="Q23" s="26"/>
      <c r="R23" s="27"/>
      <c r="S23" s="28" t="s">
        <v>33</v>
      </c>
      <c r="T23" s="28" t="s">
        <v>59</v>
      </c>
      <c r="U23" s="13" t="s">
        <v>60</v>
      </c>
    </row>
    <row r="24" spans="1:22" ht="32.25" customHeight="1" thickBot="1" x14ac:dyDescent="0.25">
      <c r="B24" s="29"/>
      <c r="C24" s="30"/>
      <c r="D24" s="30"/>
      <c r="E24" s="30"/>
      <c r="F24" s="30"/>
      <c r="G24" s="30"/>
      <c r="H24" s="31"/>
      <c r="I24" s="31"/>
      <c r="J24" s="31"/>
      <c r="K24" s="31"/>
      <c r="L24" s="31"/>
      <c r="M24" s="31"/>
      <c r="N24" s="31"/>
      <c r="O24" s="31"/>
      <c r="P24" s="31"/>
      <c r="Q24" s="31"/>
      <c r="R24" s="31"/>
      <c r="S24" s="32" t="s">
        <v>61</v>
      </c>
      <c r="T24" s="33" t="s">
        <v>61</v>
      </c>
      <c r="U24" s="33" t="s">
        <v>62</v>
      </c>
    </row>
    <row r="25" spans="1:22" ht="20.25" customHeight="1" thickBot="1" x14ac:dyDescent="0.25">
      <c r="B25" s="67" t="s">
        <v>63</v>
      </c>
      <c r="C25" s="68"/>
      <c r="D25" s="68"/>
      <c r="E25" s="34"/>
      <c r="F25" s="34"/>
      <c r="G25" s="34"/>
      <c r="H25" s="35"/>
      <c r="I25" s="35"/>
      <c r="J25" s="35"/>
      <c r="K25" s="35"/>
      <c r="L25" s="35"/>
      <c r="M25" s="35"/>
      <c r="N25" s="35"/>
      <c r="O25" s="35"/>
      <c r="P25" s="36"/>
      <c r="Q25" s="36"/>
      <c r="R25" s="36"/>
      <c r="S25" s="53">
        <v>26000.944705999998</v>
      </c>
      <c r="T25" s="53">
        <v>24324.258962129996</v>
      </c>
      <c r="U25" s="54">
        <f>+IF(ISERR(T25/S25*100),"N/A",ROUND(T25/S25*100,1))</f>
        <v>93.6</v>
      </c>
    </row>
    <row r="26" spans="1:22" ht="20.25" customHeight="1" thickBot="1" x14ac:dyDescent="0.25">
      <c r="B26" s="69" t="s">
        <v>64</v>
      </c>
      <c r="C26" s="70"/>
      <c r="D26" s="70"/>
      <c r="E26" s="37"/>
      <c r="F26" s="37"/>
      <c r="G26" s="37"/>
      <c r="H26" s="38"/>
      <c r="I26" s="38"/>
      <c r="J26" s="38"/>
      <c r="K26" s="38"/>
      <c r="L26" s="38"/>
      <c r="M26" s="38"/>
      <c r="N26" s="38"/>
      <c r="O26" s="38"/>
      <c r="P26" s="39"/>
      <c r="Q26" s="39"/>
      <c r="R26" s="39"/>
      <c r="S26" s="53">
        <v>24325.828762009998</v>
      </c>
      <c r="T26" s="53">
        <v>24324.258962129996</v>
      </c>
      <c r="U26" s="54">
        <f>+IF(ISERR(T26/S26*100),"N/A",ROUND(T26/S26*100,1))</f>
        <v>100</v>
      </c>
    </row>
    <row r="27" spans="1:22" ht="14.85" customHeight="1" thickTop="1" thickBot="1" x14ac:dyDescent="0.25">
      <c r="B27" s="4" t="s">
        <v>65</v>
      </c>
      <c r="C27" s="5"/>
      <c r="D27" s="5"/>
      <c r="E27" s="5"/>
      <c r="F27" s="5"/>
      <c r="G27" s="5"/>
      <c r="H27" s="6"/>
      <c r="I27" s="6"/>
      <c r="J27" s="6"/>
      <c r="K27" s="6"/>
      <c r="L27" s="6"/>
      <c r="M27" s="6"/>
      <c r="N27" s="6"/>
      <c r="O27" s="6"/>
      <c r="P27" s="6"/>
      <c r="Q27" s="6"/>
      <c r="R27" s="6"/>
      <c r="S27" s="6"/>
      <c r="T27" s="6"/>
      <c r="U27" s="7"/>
    </row>
    <row r="28" spans="1:22" ht="44.25" customHeight="1" thickTop="1" x14ac:dyDescent="0.2">
      <c r="B28" s="71" t="s">
        <v>66</v>
      </c>
      <c r="C28" s="72"/>
      <c r="D28" s="72"/>
      <c r="E28" s="72"/>
      <c r="F28" s="72"/>
      <c r="G28" s="72"/>
      <c r="H28" s="72"/>
      <c r="I28" s="72"/>
      <c r="J28" s="72"/>
      <c r="K28" s="72"/>
      <c r="L28" s="72"/>
      <c r="M28" s="72"/>
      <c r="N28" s="72"/>
      <c r="O28" s="72"/>
      <c r="P28" s="72"/>
      <c r="Q28" s="72"/>
      <c r="R28" s="72"/>
      <c r="S28" s="72"/>
      <c r="T28" s="72"/>
      <c r="U28" s="73"/>
    </row>
    <row r="29" spans="1:22" ht="44.25" customHeight="1" x14ac:dyDescent="0.2">
      <c r="B29" s="59" t="s">
        <v>838</v>
      </c>
      <c r="C29" s="60"/>
      <c r="D29" s="60"/>
      <c r="E29" s="60"/>
      <c r="F29" s="60"/>
      <c r="G29" s="60"/>
      <c r="H29" s="60"/>
      <c r="I29" s="60"/>
      <c r="J29" s="60"/>
      <c r="K29" s="60"/>
      <c r="L29" s="60"/>
      <c r="M29" s="60"/>
      <c r="N29" s="60"/>
      <c r="O29" s="60"/>
      <c r="P29" s="60"/>
      <c r="Q29" s="60"/>
      <c r="R29" s="60"/>
      <c r="S29" s="60"/>
      <c r="T29" s="60"/>
      <c r="U29" s="61"/>
    </row>
    <row r="30" spans="1:22" ht="68.25" customHeight="1" x14ac:dyDescent="0.2">
      <c r="B30" s="59" t="s">
        <v>839</v>
      </c>
      <c r="C30" s="60"/>
      <c r="D30" s="60"/>
      <c r="E30" s="60"/>
      <c r="F30" s="60"/>
      <c r="G30" s="60"/>
      <c r="H30" s="60"/>
      <c r="I30" s="60"/>
      <c r="J30" s="60"/>
      <c r="K30" s="60"/>
      <c r="L30" s="60"/>
      <c r="M30" s="60"/>
      <c r="N30" s="60"/>
      <c r="O30" s="60"/>
      <c r="P30" s="60"/>
      <c r="Q30" s="60"/>
      <c r="R30" s="60"/>
      <c r="S30" s="60"/>
      <c r="T30" s="60"/>
      <c r="U30" s="61"/>
    </row>
    <row r="31" spans="1:22" ht="68.25" customHeight="1" x14ac:dyDescent="0.2">
      <c r="B31" s="59" t="s">
        <v>840</v>
      </c>
      <c r="C31" s="60"/>
      <c r="D31" s="60"/>
      <c r="E31" s="60"/>
      <c r="F31" s="60"/>
      <c r="G31" s="60"/>
      <c r="H31" s="60"/>
      <c r="I31" s="60"/>
      <c r="J31" s="60"/>
      <c r="K31" s="60"/>
      <c r="L31" s="60"/>
      <c r="M31" s="60"/>
      <c r="N31" s="60"/>
      <c r="O31" s="60"/>
      <c r="P31" s="60"/>
      <c r="Q31" s="60"/>
      <c r="R31" s="60"/>
      <c r="S31" s="60"/>
      <c r="T31" s="60"/>
      <c r="U31" s="61"/>
    </row>
    <row r="32" spans="1:22" ht="68.25" customHeight="1" x14ac:dyDescent="0.2">
      <c r="B32" s="59" t="s">
        <v>841</v>
      </c>
      <c r="C32" s="60"/>
      <c r="D32" s="60"/>
      <c r="E32" s="60"/>
      <c r="F32" s="60"/>
      <c r="G32" s="60"/>
      <c r="H32" s="60"/>
      <c r="I32" s="60"/>
      <c r="J32" s="60"/>
      <c r="K32" s="60"/>
      <c r="L32" s="60"/>
      <c r="M32" s="60"/>
      <c r="N32" s="60"/>
      <c r="O32" s="60"/>
      <c r="P32" s="60"/>
      <c r="Q32" s="60"/>
      <c r="R32" s="60"/>
      <c r="S32" s="60"/>
      <c r="T32" s="60"/>
      <c r="U32" s="61"/>
    </row>
    <row r="33" spans="2:21" ht="68.25" customHeight="1" x14ac:dyDescent="0.2">
      <c r="B33" s="59" t="s">
        <v>842</v>
      </c>
      <c r="C33" s="60"/>
      <c r="D33" s="60"/>
      <c r="E33" s="60"/>
      <c r="F33" s="60"/>
      <c r="G33" s="60"/>
      <c r="H33" s="60"/>
      <c r="I33" s="60"/>
      <c r="J33" s="60"/>
      <c r="K33" s="60"/>
      <c r="L33" s="60"/>
      <c r="M33" s="60"/>
      <c r="N33" s="60"/>
      <c r="O33" s="60"/>
      <c r="P33" s="60"/>
      <c r="Q33" s="60"/>
      <c r="R33" s="60"/>
      <c r="S33" s="60"/>
      <c r="T33" s="60"/>
      <c r="U33" s="61"/>
    </row>
    <row r="34" spans="2:21" ht="68.25" customHeight="1" x14ac:dyDescent="0.2">
      <c r="B34" s="59" t="s">
        <v>843</v>
      </c>
      <c r="C34" s="60"/>
      <c r="D34" s="60"/>
      <c r="E34" s="60"/>
      <c r="F34" s="60"/>
      <c r="G34" s="60"/>
      <c r="H34" s="60"/>
      <c r="I34" s="60"/>
      <c r="J34" s="60"/>
      <c r="K34" s="60"/>
      <c r="L34" s="60"/>
      <c r="M34" s="60"/>
      <c r="N34" s="60"/>
      <c r="O34" s="60"/>
      <c r="P34" s="60"/>
      <c r="Q34" s="60"/>
      <c r="R34" s="60"/>
      <c r="S34" s="60"/>
      <c r="T34" s="60"/>
      <c r="U34" s="61"/>
    </row>
    <row r="35" spans="2:21" ht="68.25" customHeight="1" thickBot="1" x14ac:dyDescent="0.25">
      <c r="B35" s="62" t="s">
        <v>844</v>
      </c>
      <c r="C35" s="63"/>
      <c r="D35" s="63"/>
      <c r="E35" s="63"/>
      <c r="F35" s="63"/>
      <c r="G35" s="63"/>
      <c r="H35" s="63"/>
      <c r="I35" s="63"/>
      <c r="J35" s="63"/>
      <c r="K35" s="63"/>
      <c r="L35" s="63"/>
      <c r="M35" s="63"/>
      <c r="N35" s="63"/>
      <c r="O35" s="63"/>
      <c r="P35" s="63"/>
      <c r="Q35" s="63"/>
      <c r="R35" s="63"/>
      <c r="S35" s="63"/>
      <c r="T35" s="63"/>
      <c r="U35" s="64"/>
    </row>
  </sheetData>
  <mergeCells count="64">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B25:D25"/>
    <mergeCell ref="B26:D26"/>
    <mergeCell ref="B28:U28"/>
    <mergeCell ref="B29:U29"/>
    <mergeCell ref="C18:H18"/>
    <mergeCell ref="I18:K18"/>
    <mergeCell ref="L18:O18"/>
    <mergeCell ref="C19:H19"/>
    <mergeCell ref="I19:K19"/>
    <mergeCell ref="L19:O19"/>
    <mergeCell ref="C20:H20"/>
    <mergeCell ref="I20:K20"/>
    <mergeCell ref="L20:O20"/>
    <mergeCell ref="C21:H21"/>
    <mergeCell ref="I21:K21"/>
    <mergeCell ref="L21:O21"/>
    <mergeCell ref="B34:U34"/>
    <mergeCell ref="B35:U35"/>
    <mergeCell ref="B30:U30"/>
    <mergeCell ref="B31:U31"/>
    <mergeCell ref="B32:U32"/>
    <mergeCell ref="B33:U33"/>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111"/>
  <sheetViews>
    <sheetView zoomScale="90" zoomScaleNormal="90" zoomScaleSheetLayoutView="80" workbookViewId="0">
      <selection activeCell="U43" sqref="U43"/>
    </sheetView>
  </sheetViews>
  <sheetFormatPr baseColWidth="10" defaultColWidth="10" defaultRowHeight="12.75" x14ac:dyDescent="0.2"/>
  <cols>
    <col min="1" max="1" width="3.5" style="1" customWidth="1"/>
    <col min="2" max="2" width="14.6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8.62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375" style="1" customWidth="1"/>
    <col min="19" max="19" width="13" style="1" customWidth="1"/>
    <col min="20" max="20" width="10.75" style="1" customWidth="1"/>
    <col min="21" max="21" width="12.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5" t="s">
        <v>0</v>
      </c>
      <c r="C1" s="55"/>
      <c r="D1" s="55"/>
      <c r="E1" s="55"/>
      <c r="F1" s="55"/>
      <c r="G1" s="55"/>
      <c r="H1" s="55"/>
      <c r="I1" s="55"/>
      <c r="J1" s="55"/>
      <c r="K1" s="55"/>
      <c r="L1" s="55"/>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42" t="s">
        <v>6</v>
      </c>
      <c r="C4" s="43" t="s">
        <v>845</v>
      </c>
      <c r="D4" s="102" t="s">
        <v>846</v>
      </c>
      <c r="E4" s="102"/>
      <c r="F4" s="102"/>
      <c r="G4" s="102"/>
      <c r="H4" s="102"/>
      <c r="I4" s="44"/>
      <c r="J4" s="45" t="s">
        <v>9</v>
      </c>
      <c r="K4" s="46" t="s">
        <v>10</v>
      </c>
      <c r="L4" s="103" t="s">
        <v>11</v>
      </c>
      <c r="M4" s="103"/>
      <c r="N4" s="103"/>
      <c r="O4" s="103"/>
      <c r="P4" s="45" t="s">
        <v>12</v>
      </c>
      <c r="Q4" s="103" t="s">
        <v>357</v>
      </c>
      <c r="R4" s="103"/>
      <c r="S4" s="45" t="s">
        <v>14</v>
      </c>
      <c r="T4" s="103"/>
      <c r="U4" s="104"/>
    </row>
    <row r="5" spans="1:21" ht="15.75" customHeight="1" x14ac:dyDescent="0.2">
      <c r="B5" s="99" t="s">
        <v>15</v>
      </c>
      <c r="C5" s="100"/>
      <c r="D5" s="100"/>
      <c r="E5" s="100"/>
      <c r="F5" s="100"/>
      <c r="G5" s="100"/>
      <c r="H5" s="100"/>
      <c r="I5" s="100"/>
      <c r="J5" s="100"/>
      <c r="K5" s="100"/>
      <c r="L5" s="100"/>
      <c r="M5" s="100"/>
      <c r="N5" s="100"/>
      <c r="O5" s="100"/>
      <c r="P5" s="100"/>
      <c r="Q5" s="100"/>
      <c r="R5" s="100"/>
      <c r="S5" s="100"/>
      <c r="T5" s="100"/>
      <c r="U5" s="101"/>
    </row>
    <row r="6" spans="1:21" ht="37.5" customHeight="1" thickBot="1" x14ac:dyDescent="0.25">
      <c r="B6" s="47" t="s">
        <v>16</v>
      </c>
      <c r="C6" s="76" t="s">
        <v>17</v>
      </c>
      <c r="D6" s="76"/>
      <c r="E6" s="76"/>
      <c r="F6" s="76"/>
      <c r="G6" s="76"/>
      <c r="H6" s="48"/>
      <c r="I6" s="48"/>
      <c r="J6" s="48" t="s">
        <v>18</v>
      </c>
      <c r="K6" s="76" t="s">
        <v>238</v>
      </c>
      <c r="L6" s="76"/>
      <c r="M6" s="76"/>
      <c r="N6" s="49"/>
      <c r="O6" s="48" t="s">
        <v>20</v>
      </c>
      <c r="P6" s="76" t="s">
        <v>239</v>
      </c>
      <c r="Q6" s="76"/>
      <c r="R6" s="50"/>
      <c r="S6" s="48" t="s">
        <v>22</v>
      </c>
      <c r="T6" s="76" t="s">
        <v>847</v>
      </c>
      <c r="U6" s="77"/>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8" t="s">
        <v>25</v>
      </c>
      <c r="C8" s="81" t="s">
        <v>26</v>
      </c>
      <c r="D8" s="81"/>
      <c r="E8" s="81"/>
      <c r="F8" s="81"/>
      <c r="G8" s="81"/>
      <c r="H8" s="82"/>
      <c r="I8" s="87" t="s">
        <v>27</v>
      </c>
      <c r="J8" s="88"/>
      <c r="K8" s="88"/>
      <c r="L8" s="88"/>
      <c r="M8" s="88"/>
      <c r="N8" s="88"/>
      <c r="O8" s="88"/>
      <c r="P8" s="88"/>
      <c r="Q8" s="88"/>
      <c r="R8" s="88"/>
      <c r="S8" s="89"/>
      <c r="T8" s="90" t="s">
        <v>28</v>
      </c>
      <c r="U8" s="91"/>
    </row>
    <row r="9" spans="1:21" ht="19.5" customHeight="1" x14ac:dyDescent="0.2">
      <c r="B9" s="79"/>
      <c r="C9" s="83"/>
      <c r="D9" s="83"/>
      <c r="E9" s="83"/>
      <c r="F9" s="83"/>
      <c r="G9" s="83"/>
      <c r="H9" s="84"/>
      <c r="I9" s="92" t="s">
        <v>29</v>
      </c>
      <c r="J9" s="81"/>
      <c r="K9" s="81"/>
      <c r="L9" s="81" t="s">
        <v>30</v>
      </c>
      <c r="M9" s="81"/>
      <c r="N9" s="81"/>
      <c r="O9" s="81"/>
      <c r="P9" s="81" t="s">
        <v>31</v>
      </c>
      <c r="Q9" s="81" t="s">
        <v>32</v>
      </c>
      <c r="R9" s="95" t="s">
        <v>33</v>
      </c>
      <c r="S9" s="96"/>
      <c r="T9" s="81" t="s">
        <v>34</v>
      </c>
      <c r="U9" s="97" t="s">
        <v>35</v>
      </c>
    </row>
    <row r="10" spans="1:21" ht="26.25" customHeight="1" thickBot="1" x14ac:dyDescent="0.25">
      <c r="B10" s="80"/>
      <c r="C10" s="85"/>
      <c r="D10" s="85"/>
      <c r="E10" s="85"/>
      <c r="F10" s="85"/>
      <c r="G10" s="85"/>
      <c r="H10" s="86"/>
      <c r="I10" s="93"/>
      <c r="J10" s="94"/>
      <c r="K10" s="94"/>
      <c r="L10" s="94"/>
      <c r="M10" s="94"/>
      <c r="N10" s="94"/>
      <c r="O10" s="94"/>
      <c r="P10" s="94"/>
      <c r="Q10" s="94"/>
      <c r="R10" s="14" t="s">
        <v>36</v>
      </c>
      <c r="S10" s="15" t="s">
        <v>37</v>
      </c>
      <c r="T10" s="94"/>
      <c r="U10" s="98"/>
    </row>
    <row r="11" spans="1:21" ht="279.75" customHeight="1" thickTop="1" x14ac:dyDescent="0.2">
      <c r="A11" s="16"/>
      <c r="B11" s="17" t="s">
        <v>75</v>
      </c>
      <c r="C11" s="74" t="s">
        <v>848</v>
      </c>
      <c r="D11" s="74"/>
      <c r="E11" s="74"/>
      <c r="F11" s="74"/>
      <c r="G11" s="74"/>
      <c r="H11" s="74"/>
      <c r="I11" s="74" t="s">
        <v>849</v>
      </c>
      <c r="J11" s="74"/>
      <c r="K11" s="74"/>
      <c r="L11" s="74" t="s">
        <v>850</v>
      </c>
      <c r="M11" s="74"/>
      <c r="N11" s="74"/>
      <c r="O11" s="74"/>
      <c r="P11" s="18" t="s">
        <v>48</v>
      </c>
      <c r="Q11" s="18" t="s">
        <v>165</v>
      </c>
      <c r="R11" s="18">
        <v>81</v>
      </c>
      <c r="S11" s="18">
        <v>1.34</v>
      </c>
      <c r="T11" s="18">
        <v>1.51</v>
      </c>
      <c r="U11" s="51">
        <f>112.7</f>
        <v>112.7</v>
      </c>
    </row>
    <row r="12" spans="1:21" ht="219" customHeight="1" thickBot="1" x14ac:dyDescent="0.25">
      <c r="A12" s="16"/>
      <c r="B12" s="20" t="s">
        <v>49</v>
      </c>
      <c r="C12" s="65" t="s">
        <v>49</v>
      </c>
      <c r="D12" s="65"/>
      <c r="E12" s="65"/>
      <c r="F12" s="65"/>
      <c r="G12" s="65"/>
      <c r="H12" s="65"/>
      <c r="I12" s="65" t="s">
        <v>851</v>
      </c>
      <c r="J12" s="65"/>
      <c r="K12" s="65"/>
      <c r="L12" s="65" t="s">
        <v>852</v>
      </c>
      <c r="M12" s="65"/>
      <c r="N12" s="65"/>
      <c r="O12" s="65"/>
      <c r="P12" s="21" t="s">
        <v>48</v>
      </c>
      <c r="Q12" s="21" t="s">
        <v>165</v>
      </c>
      <c r="R12" s="21" t="s">
        <v>80</v>
      </c>
      <c r="S12" s="21">
        <v>9.36</v>
      </c>
      <c r="T12" s="21">
        <v>9.1999999999999993</v>
      </c>
      <c r="U12" s="22">
        <f>98.3</f>
        <v>98.3</v>
      </c>
    </row>
    <row r="13" spans="1:21" ht="157.5" customHeight="1" thickTop="1" x14ac:dyDescent="0.2">
      <c r="A13" s="16"/>
      <c r="B13" s="17" t="s">
        <v>81</v>
      </c>
      <c r="C13" s="74" t="s">
        <v>853</v>
      </c>
      <c r="D13" s="74"/>
      <c r="E13" s="74"/>
      <c r="F13" s="74"/>
      <c r="G13" s="74"/>
      <c r="H13" s="74"/>
      <c r="I13" s="74" t="s">
        <v>854</v>
      </c>
      <c r="J13" s="74"/>
      <c r="K13" s="74"/>
      <c r="L13" s="74" t="s">
        <v>855</v>
      </c>
      <c r="M13" s="74"/>
      <c r="N13" s="74"/>
      <c r="O13" s="74"/>
      <c r="P13" s="18" t="s">
        <v>48</v>
      </c>
      <c r="Q13" s="18" t="s">
        <v>165</v>
      </c>
      <c r="R13" s="18">
        <v>75</v>
      </c>
      <c r="S13" s="18">
        <v>80</v>
      </c>
      <c r="T13" s="18">
        <v>19.5</v>
      </c>
      <c r="U13" s="51">
        <f>24.5</f>
        <v>24.5</v>
      </c>
    </row>
    <row r="14" spans="1:21" ht="120" customHeight="1" x14ac:dyDescent="0.2">
      <c r="A14" s="16"/>
      <c r="B14" s="20" t="s">
        <v>49</v>
      </c>
      <c r="C14" s="65" t="s">
        <v>49</v>
      </c>
      <c r="D14" s="65"/>
      <c r="E14" s="65"/>
      <c r="F14" s="65"/>
      <c r="G14" s="65"/>
      <c r="H14" s="65"/>
      <c r="I14" s="65" t="s">
        <v>856</v>
      </c>
      <c r="J14" s="65"/>
      <c r="K14" s="65"/>
      <c r="L14" s="65" t="s">
        <v>857</v>
      </c>
      <c r="M14" s="65"/>
      <c r="N14" s="65"/>
      <c r="O14" s="65"/>
      <c r="P14" s="21" t="s">
        <v>48</v>
      </c>
      <c r="Q14" s="21" t="s">
        <v>165</v>
      </c>
      <c r="R14" s="21">
        <v>60</v>
      </c>
      <c r="S14" s="21">
        <v>27.71</v>
      </c>
      <c r="T14" s="21">
        <v>7.9</v>
      </c>
      <c r="U14" s="22">
        <f>28.5</f>
        <v>28.5</v>
      </c>
    </row>
    <row r="15" spans="1:21" ht="111.75" customHeight="1" x14ac:dyDescent="0.2">
      <c r="A15" s="16"/>
      <c r="B15" s="20" t="s">
        <v>49</v>
      </c>
      <c r="C15" s="65" t="s">
        <v>49</v>
      </c>
      <c r="D15" s="65"/>
      <c r="E15" s="65"/>
      <c r="F15" s="65"/>
      <c r="G15" s="65"/>
      <c r="H15" s="65"/>
      <c r="I15" s="65" t="s">
        <v>858</v>
      </c>
      <c r="J15" s="65"/>
      <c r="K15" s="65"/>
      <c r="L15" s="65" t="s">
        <v>859</v>
      </c>
      <c r="M15" s="65"/>
      <c r="N15" s="65"/>
      <c r="O15" s="65"/>
      <c r="P15" s="21" t="s">
        <v>48</v>
      </c>
      <c r="Q15" s="21" t="s">
        <v>165</v>
      </c>
      <c r="R15" s="21">
        <v>30</v>
      </c>
      <c r="S15" s="21">
        <v>30</v>
      </c>
      <c r="T15" s="21">
        <v>1.6</v>
      </c>
      <c r="U15" s="22">
        <f>5.33</f>
        <v>5.33</v>
      </c>
    </row>
    <row r="16" spans="1:21" ht="82.5" customHeight="1" thickBot="1" x14ac:dyDescent="0.25">
      <c r="A16" s="16"/>
      <c r="B16" s="20" t="s">
        <v>49</v>
      </c>
      <c r="C16" s="65" t="s">
        <v>49</v>
      </c>
      <c r="D16" s="65"/>
      <c r="E16" s="65"/>
      <c r="F16" s="65"/>
      <c r="G16" s="65"/>
      <c r="H16" s="65"/>
      <c r="I16" s="65" t="s">
        <v>860</v>
      </c>
      <c r="J16" s="65"/>
      <c r="K16" s="65"/>
      <c r="L16" s="65" t="s">
        <v>861</v>
      </c>
      <c r="M16" s="65"/>
      <c r="N16" s="65"/>
      <c r="O16" s="65"/>
      <c r="P16" s="21" t="s">
        <v>48</v>
      </c>
      <c r="Q16" s="21" t="s">
        <v>165</v>
      </c>
      <c r="R16" s="21">
        <v>100</v>
      </c>
      <c r="S16" s="21">
        <v>30.79</v>
      </c>
      <c r="T16" s="21">
        <v>12.2</v>
      </c>
      <c r="U16" s="22">
        <f>39.6</f>
        <v>39.6</v>
      </c>
    </row>
    <row r="17" spans="1:21" ht="75" customHeight="1" thickTop="1" x14ac:dyDescent="0.2">
      <c r="A17" s="16"/>
      <c r="B17" s="17" t="s">
        <v>38</v>
      </c>
      <c r="C17" s="74" t="s">
        <v>862</v>
      </c>
      <c r="D17" s="74"/>
      <c r="E17" s="74"/>
      <c r="F17" s="74"/>
      <c r="G17" s="74"/>
      <c r="H17" s="74"/>
      <c r="I17" s="74" t="s">
        <v>863</v>
      </c>
      <c r="J17" s="74"/>
      <c r="K17" s="74"/>
      <c r="L17" s="74" t="s">
        <v>864</v>
      </c>
      <c r="M17" s="74"/>
      <c r="N17" s="74"/>
      <c r="O17" s="74"/>
      <c r="P17" s="18" t="s">
        <v>865</v>
      </c>
      <c r="Q17" s="18" t="s">
        <v>170</v>
      </c>
      <c r="R17" s="41">
        <v>37073</v>
      </c>
      <c r="S17" s="41">
        <v>40000</v>
      </c>
      <c r="T17" s="41">
        <v>39125</v>
      </c>
      <c r="U17" s="51">
        <f>97.8</f>
        <v>97.8</v>
      </c>
    </row>
    <row r="18" spans="1:21" ht="75" customHeight="1" x14ac:dyDescent="0.2">
      <c r="A18" s="16"/>
      <c r="B18" s="20" t="s">
        <v>49</v>
      </c>
      <c r="C18" s="65" t="s">
        <v>49</v>
      </c>
      <c r="D18" s="65"/>
      <c r="E18" s="65"/>
      <c r="F18" s="65"/>
      <c r="G18" s="65"/>
      <c r="H18" s="65"/>
      <c r="I18" s="65" t="s">
        <v>866</v>
      </c>
      <c r="J18" s="65"/>
      <c r="K18" s="65"/>
      <c r="L18" s="65" t="s">
        <v>867</v>
      </c>
      <c r="M18" s="65"/>
      <c r="N18" s="65"/>
      <c r="O18" s="65"/>
      <c r="P18" s="21" t="s">
        <v>865</v>
      </c>
      <c r="Q18" s="21" t="s">
        <v>170</v>
      </c>
      <c r="R18" s="40">
        <v>5000</v>
      </c>
      <c r="S18" s="40">
        <v>45000</v>
      </c>
      <c r="T18" s="40">
        <v>135555</v>
      </c>
      <c r="U18" s="22">
        <f>301.2</f>
        <v>301.2</v>
      </c>
    </row>
    <row r="19" spans="1:21" ht="75" customHeight="1" x14ac:dyDescent="0.2">
      <c r="A19" s="16"/>
      <c r="B19" s="20" t="s">
        <v>49</v>
      </c>
      <c r="C19" s="65" t="s">
        <v>49</v>
      </c>
      <c r="D19" s="65"/>
      <c r="E19" s="65"/>
      <c r="F19" s="65"/>
      <c r="G19" s="65"/>
      <c r="H19" s="65"/>
      <c r="I19" s="65" t="s">
        <v>868</v>
      </c>
      <c r="J19" s="65"/>
      <c r="K19" s="65"/>
      <c r="L19" s="65" t="s">
        <v>869</v>
      </c>
      <c r="M19" s="65"/>
      <c r="N19" s="65"/>
      <c r="O19" s="65"/>
      <c r="P19" s="21" t="s">
        <v>865</v>
      </c>
      <c r="Q19" s="21" t="s">
        <v>170</v>
      </c>
      <c r="R19" s="40">
        <v>50000</v>
      </c>
      <c r="S19" s="40">
        <v>100000</v>
      </c>
      <c r="T19" s="40">
        <v>89256</v>
      </c>
      <c r="U19" s="22">
        <f>89.3</f>
        <v>89.3</v>
      </c>
    </row>
    <row r="20" spans="1:21" ht="75" customHeight="1" x14ac:dyDescent="0.2">
      <c r="A20" s="16"/>
      <c r="B20" s="20" t="s">
        <v>49</v>
      </c>
      <c r="C20" s="65" t="s">
        <v>49</v>
      </c>
      <c r="D20" s="65"/>
      <c r="E20" s="65"/>
      <c r="F20" s="65"/>
      <c r="G20" s="65"/>
      <c r="H20" s="65"/>
      <c r="I20" s="65" t="s">
        <v>870</v>
      </c>
      <c r="J20" s="65"/>
      <c r="K20" s="65"/>
      <c r="L20" s="65" t="s">
        <v>871</v>
      </c>
      <c r="M20" s="65"/>
      <c r="N20" s="65"/>
      <c r="O20" s="65"/>
      <c r="P20" s="21" t="s">
        <v>255</v>
      </c>
      <c r="Q20" s="21" t="s">
        <v>170</v>
      </c>
      <c r="R20" s="40">
        <v>8000</v>
      </c>
      <c r="S20" s="40">
        <v>8000</v>
      </c>
      <c r="T20" s="40">
        <v>3742</v>
      </c>
      <c r="U20" s="22">
        <f>46.8</f>
        <v>46.8</v>
      </c>
    </row>
    <row r="21" spans="1:21" ht="75" customHeight="1" x14ac:dyDescent="0.2">
      <c r="A21" s="16"/>
      <c r="B21" s="20" t="s">
        <v>49</v>
      </c>
      <c r="C21" s="65" t="s">
        <v>872</v>
      </c>
      <c r="D21" s="65"/>
      <c r="E21" s="65"/>
      <c r="F21" s="65"/>
      <c r="G21" s="65"/>
      <c r="H21" s="65"/>
      <c r="I21" s="65" t="s">
        <v>873</v>
      </c>
      <c r="J21" s="65"/>
      <c r="K21" s="65"/>
      <c r="L21" s="65" t="s">
        <v>874</v>
      </c>
      <c r="M21" s="65"/>
      <c r="N21" s="65"/>
      <c r="O21" s="65"/>
      <c r="P21" s="21" t="s">
        <v>865</v>
      </c>
      <c r="Q21" s="21" t="s">
        <v>170</v>
      </c>
      <c r="R21" s="40">
        <v>120000</v>
      </c>
      <c r="S21" s="40">
        <v>120000</v>
      </c>
      <c r="T21" s="40">
        <v>132389</v>
      </c>
      <c r="U21" s="22">
        <f>110.3</f>
        <v>110.3</v>
      </c>
    </row>
    <row r="22" spans="1:21" ht="75" customHeight="1" x14ac:dyDescent="0.2">
      <c r="A22" s="16"/>
      <c r="B22" s="20" t="s">
        <v>49</v>
      </c>
      <c r="C22" s="65" t="s">
        <v>49</v>
      </c>
      <c r="D22" s="65"/>
      <c r="E22" s="65"/>
      <c r="F22" s="65"/>
      <c r="G22" s="65"/>
      <c r="H22" s="65"/>
      <c r="I22" s="65" t="s">
        <v>875</v>
      </c>
      <c r="J22" s="65"/>
      <c r="K22" s="65"/>
      <c r="L22" s="65" t="s">
        <v>876</v>
      </c>
      <c r="M22" s="65"/>
      <c r="N22" s="65"/>
      <c r="O22" s="65"/>
      <c r="P22" s="21" t="s">
        <v>877</v>
      </c>
      <c r="Q22" s="21" t="s">
        <v>170</v>
      </c>
      <c r="R22" s="40">
        <v>155</v>
      </c>
      <c r="S22" s="40">
        <v>155</v>
      </c>
      <c r="T22" s="40">
        <v>227</v>
      </c>
      <c r="U22" s="22">
        <f>146.5</f>
        <v>146.5</v>
      </c>
    </row>
    <row r="23" spans="1:21" ht="75" customHeight="1" x14ac:dyDescent="0.2">
      <c r="A23" s="16"/>
      <c r="B23" s="20" t="s">
        <v>49</v>
      </c>
      <c r="C23" s="65" t="s">
        <v>49</v>
      </c>
      <c r="D23" s="65"/>
      <c r="E23" s="65"/>
      <c r="F23" s="65"/>
      <c r="G23" s="65"/>
      <c r="H23" s="65"/>
      <c r="I23" s="65" t="s">
        <v>878</v>
      </c>
      <c r="J23" s="65"/>
      <c r="K23" s="65"/>
      <c r="L23" s="65" t="s">
        <v>879</v>
      </c>
      <c r="M23" s="65"/>
      <c r="N23" s="65"/>
      <c r="O23" s="65"/>
      <c r="P23" s="21" t="s">
        <v>865</v>
      </c>
      <c r="Q23" s="21" t="s">
        <v>170</v>
      </c>
      <c r="R23" s="40">
        <v>37000</v>
      </c>
      <c r="S23" s="40">
        <v>37000</v>
      </c>
      <c r="T23" s="40">
        <v>29292</v>
      </c>
      <c r="U23" s="22">
        <f>79.2</f>
        <v>79.2</v>
      </c>
    </row>
    <row r="24" spans="1:21" ht="75" customHeight="1" x14ac:dyDescent="0.2">
      <c r="A24" s="16"/>
      <c r="B24" s="20" t="s">
        <v>49</v>
      </c>
      <c r="C24" s="65" t="s">
        <v>49</v>
      </c>
      <c r="D24" s="65"/>
      <c r="E24" s="65"/>
      <c r="F24" s="65"/>
      <c r="G24" s="65"/>
      <c r="H24" s="65"/>
      <c r="I24" s="65" t="s">
        <v>880</v>
      </c>
      <c r="J24" s="65"/>
      <c r="K24" s="65"/>
      <c r="L24" s="65" t="s">
        <v>881</v>
      </c>
      <c r="M24" s="65"/>
      <c r="N24" s="65"/>
      <c r="O24" s="65"/>
      <c r="P24" s="21" t="s">
        <v>865</v>
      </c>
      <c r="Q24" s="21" t="s">
        <v>170</v>
      </c>
      <c r="R24" s="40">
        <v>48333</v>
      </c>
      <c r="S24" s="40">
        <v>48333</v>
      </c>
      <c r="T24" s="40">
        <v>59810</v>
      </c>
      <c r="U24" s="22">
        <f>123.7</f>
        <v>123.7</v>
      </c>
    </row>
    <row r="25" spans="1:21" ht="75" customHeight="1" x14ac:dyDescent="0.2">
      <c r="A25" s="16"/>
      <c r="B25" s="20" t="s">
        <v>49</v>
      </c>
      <c r="C25" s="65" t="s">
        <v>49</v>
      </c>
      <c r="D25" s="65"/>
      <c r="E25" s="65"/>
      <c r="F25" s="65"/>
      <c r="G25" s="65"/>
      <c r="H25" s="65"/>
      <c r="I25" s="65" t="s">
        <v>882</v>
      </c>
      <c r="J25" s="65"/>
      <c r="K25" s="65"/>
      <c r="L25" s="65" t="s">
        <v>883</v>
      </c>
      <c r="M25" s="65"/>
      <c r="N25" s="65"/>
      <c r="O25" s="65"/>
      <c r="P25" s="21" t="s">
        <v>884</v>
      </c>
      <c r="Q25" s="21" t="s">
        <v>170</v>
      </c>
      <c r="R25" s="40">
        <v>3</v>
      </c>
      <c r="S25" s="40">
        <v>3</v>
      </c>
      <c r="T25" s="40">
        <v>2</v>
      </c>
      <c r="U25" s="22">
        <f>66.7</f>
        <v>66.7</v>
      </c>
    </row>
    <row r="26" spans="1:21" ht="83.25" customHeight="1" x14ac:dyDescent="0.2">
      <c r="A26" s="16"/>
      <c r="B26" s="20" t="s">
        <v>49</v>
      </c>
      <c r="C26" s="65" t="s">
        <v>885</v>
      </c>
      <c r="D26" s="65"/>
      <c r="E26" s="65"/>
      <c r="F26" s="65"/>
      <c r="G26" s="65"/>
      <c r="H26" s="65"/>
      <c r="I26" s="65" t="s">
        <v>886</v>
      </c>
      <c r="J26" s="65"/>
      <c r="K26" s="65"/>
      <c r="L26" s="65" t="s">
        <v>887</v>
      </c>
      <c r="M26" s="65"/>
      <c r="N26" s="65"/>
      <c r="O26" s="65"/>
      <c r="P26" s="21" t="s">
        <v>255</v>
      </c>
      <c r="Q26" s="21" t="s">
        <v>170</v>
      </c>
      <c r="R26" s="40">
        <v>200</v>
      </c>
      <c r="S26" s="40">
        <v>200</v>
      </c>
      <c r="T26" s="40">
        <v>88</v>
      </c>
      <c r="U26" s="22">
        <f>44</f>
        <v>44</v>
      </c>
    </row>
    <row r="27" spans="1:21" ht="87" customHeight="1" x14ac:dyDescent="0.2">
      <c r="A27" s="16"/>
      <c r="B27" s="20" t="s">
        <v>49</v>
      </c>
      <c r="C27" s="65" t="s">
        <v>49</v>
      </c>
      <c r="D27" s="65"/>
      <c r="E27" s="65"/>
      <c r="F27" s="65"/>
      <c r="G27" s="65"/>
      <c r="H27" s="65"/>
      <c r="I27" s="65" t="s">
        <v>888</v>
      </c>
      <c r="J27" s="65"/>
      <c r="K27" s="65"/>
      <c r="L27" s="65" t="s">
        <v>889</v>
      </c>
      <c r="M27" s="65"/>
      <c r="N27" s="65"/>
      <c r="O27" s="65"/>
      <c r="P27" s="21" t="s">
        <v>255</v>
      </c>
      <c r="Q27" s="21" t="s">
        <v>170</v>
      </c>
      <c r="R27" s="40">
        <v>515</v>
      </c>
      <c r="S27" s="40">
        <v>515</v>
      </c>
      <c r="T27" s="40">
        <v>244</v>
      </c>
      <c r="U27" s="22">
        <f>47.4</f>
        <v>47.4</v>
      </c>
    </row>
    <row r="28" spans="1:21" ht="75" customHeight="1" x14ac:dyDescent="0.2">
      <c r="A28" s="16"/>
      <c r="B28" s="20" t="s">
        <v>49</v>
      </c>
      <c r="C28" s="65" t="s">
        <v>49</v>
      </c>
      <c r="D28" s="65"/>
      <c r="E28" s="65"/>
      <c r="F28" s="65"/>
      <c r="G28" s="65"/>
      <c r="H28" s="65"/>
      <c r="I28" s="65" t="s">
        <v>890</v>
      </c>
      <c r="J28" s="65"/>
      <c r="K28" s="65"/>
      <c r="L28" s="65" t="s">
        <v>891</v>
      </c>
      <c r="M28" s="65"/>
      <c r="N28" s="65"/>
      <c r="O28" s="65"/>
      <c r="P28" s="21" t="s">
        <v>892</v>
      </c>
      <c r="Q28" s="21" t="s">
        <v>170</v>
      </c>
      <c r="R28" s="40">
        <v>650</v>
      </c>
      <c r="S28" s="40">
        <v>650</v>
      </c>
      <c r="T28" s="40">
        <v>810</v>
      </c>
      <c r="U28" s="22">
        <f>124.6</f>
        <v>124.6</v>
      </c>
    </row>
    <row r="29" spans="1:21" ht="75" customHeight="1" x14ac:dyDescent="0.2">
      <c r="A29" s="16"/>
      <c r="B29" s="20" t="s">
        <v>49</v>
      </c>
      <c r="C29" s="65" t="s">
        <v>49</v>
      </c>
      <c r="D29" s="65"/>
      <c r="E29" s="65"/>
      <c r="F29" s="65"/>
      <c r="G29" s="65"/>
      <c r="H29" s="65"/>
      <c r="I29" s="65" t="s">
        <v>893</v>
      </c>
      <c r="J29" s="65"/>
      <c r="K29" s="65"/>
      <c r="L29" s="65" t="s">
        <v>894</v>
      </c>
      <c r="M29" s="65"/>
      <c r="N29" s="65"/>
      <c r="O29" s="65"/>
      <c r="P29" s="21" t="s">
        <v>255</v>
      </c>
      <c r="Q29" s="21" t="s">
        <v>170</v>
      </c>
      <c r="R29" s="40">
        <v>849</v>
      </c>
      <c r="S29" s="40">
        <v>20</v>
      </c>
      <c r="T29" s="40">
        <v>66</v>
      </c>
      <c r="U29" s="22">
        <f>330</f>
        <v>330</v>
      </c>
    </row>
    <row r="30" spans="1:21" ht="75" customHeight="1" x14ac:dyDescent="0.2">
      <c r="A30" s="16"/>
      <c r="B30" s="20" t="s">
        <v>49</v>
      </c>
      <c r="C30" s="65" t="s">
        <v>49</v>
      </c>
      <c r="D30" s="65"/>
      <c r="E30" s="65"/>
      <c r="F30" s="65"/>
      <c r="G30" s="65"/>
      <c r="H30" s="65"/>
      <c r="I30" s="65" t="s">
        <v>895</v>
      </c>
      <c r="J30" s="65"/>
      <c r="K30" s="65"/>
      <c r="L30" s="65" t="s">
        <v>896</v>
      </c>
      <c r="M30" s="65"/>
      <c r="N30" s="65"/>
      <c r="O30" s="65"/>
      <c r="P30" s="21" t="s">
        <v>255</v>
      </c>
      <c r="Q30" s="21" t="s">
        <v>170</v>
      </c>
      <c r="R30" s="40">
        <v>650</v>
      </c>
      <c r="S30" s="40">
        <v>650</v>
      </c>
      <c r="T30" s="40">
        <v>0</v>
      </c>
      <c r="U30" s="22">
        <f>0</f>
        <v>0</v>
      </c>
    </row>
    <row r="31" spans="1:21" ht="99.75" customHeight="1" x14ac:dyDescent="0.2">
      <c r="A31" s="16"/>
      <c r="B31" s="20" t="s">
        <v>49</v>
      </c>
      <c r="C31" s="65" t="s">
        <v>49</v>
      </c>
      <c r="D31" s="65"/>
      <c r="E31" s="65"/>
      <c r="F31" s="65"/>
      <c r="G31" s="65"/>
      <c r="H31" s="65"/>
      <c r="I31" s="65" t="s">
        <v>897</v>
      </c>
      <c r="J31" s="65"/>
      <c r="K31" s="65"/>
      <c r="L31" s="65" t="s">
        <v>898</v>
      </c>
      <c r="M31" s="65"/>
      <c r="N31" s="65"/>
      <c r="O31" s="65"/>
      <c r="P31" s="21" t="s">
        <v>255</v>
      </c>
      <c r="Q31" s="21" t="s">
        <v>170</v>
      </c>
      <c r="R31" s="40">
        <v>35</v>
      </c>
      <c r="S31" s="40">
        <v>35</v>
      </c>
      <c r="T31" s="40">
        <v>35</v>
      </c>
      <c r="U31" s="22">
        <f>100</f>
        <v>100</v>
      </c>
    </row>
    <row r="32" spans="1:21" ht="91.5" customHeight="1" x14ac:dyDescent="0.2">
      <c r="A32" s="16"/>
      <c r="B32" s="20" t="s">
        <v>49</v>
      </c>
      <c r="C32" s="65" t="s">
        <v>49</v>
      </c>
      <c r="D32" s="65"/>
      <c r="E32" s="65"/>
      <c r="F32" s="65"/>
      <c r="G32" s="65"/>
      <c r="H32" s="65"/>
      <c r="I32" s="65" t="s">
        <v>899</v>
      </c>
      <c r="J32" s="65"/>
      <c r="K32" s="65"/>
      <c r="L32" s="65" t="s">
        <v>900</v>
      </c>
      <c r="M32" s="65"/>
      <c r="N32" s="65"/>
      <c r="O32" s="65"/>
      <c r="P32" s="21" t="s">
        <v>255</v>
      </c>
      <c r="Q32" s="21" t="s">
        <v>170</v>
      </c>
      <c r="R32" s="40">
        <v>10</v>
      </c>
      <c r="S32" s="40">
        <v>10</v>
      </c>
      <c r="T32" s="40">
        <v>10</v>
      </c>
      <c r="U32" s="22">
        <f>100</f>
        <v>100</v>
      </c>
    </row>
    <row r="33" spans="1:21" ht="130.5" customHeight="1" x14ac:dyDescent="0.2">
      <c r="A33" s="16"/>
      <c r="B33" s="20" t="s">
        <v>49</v>
      </c>
      <c r="C33" s="65" t="s">
        <v>49</v>
      </c>
      <c r="D33" s="65"/>
      <c r="E33" s="65"/>
      <c r="F33" s="65"/>
      <c r="G33" s="65"/>
      <c r="H33" s="65"/>
      <c r="I33" s="65" t="s">
        <v>901</v>
      </c>
      <c r="J33" s="65"/>
      <c r="K33" s="65"/>
      <c r="L33" s="65" t="s">
        <v>898</v>
      </c>
      <c r="M33" s="65"/>
      <c r="N33" s="65"/>
      <c r="O33" s="65"/>
      <c r="P33" s="21" t="s">
        <v>255</v>
      </c>
      <c r="Q33" s="21" t="s">
        <v>170</v>
      </c>
      <c r="R33" s="40">
        <v>32</v>
      </c>
      <c r="S33" s="40">
        <v>32</v>
      </c>
      <c r="T33" s="40">
        <v>32</v>
      </c>
      <c r="U33" s="22">
        <f>100</f>
        <v>100</v>
      </c>
    </row>
    <row r="34" spans="1:21" ht="75" customHeight="1" x14ac:dyDescent="0.2">
      <c r="A34" s="16"/>
      <c r="B34" s="20" t="s">
        <v>49</v>
      </c>
      <c r="C34" s="65" t="s">
        <v>49</v>
      </c>
      <c r="D34" s="65"/>
      <c r="E34" s="65"/>
      <c r="F34" s="65"/>
      <c r="G34" s="65"/>
      <c r="H34" s="65"/>
      <c r="I34" s="65" t="s">
        <v>902</v>
      </c>
      <c r="J34" s="65"/>
      <c r="K34" s="65"/>
      <c r="L34" s="65" t="s">
        <v>903</v>
      </c>
      <c r="M34" s="65"/>
      <c r="N34" s="65"/>
      <c r="O34" s="65"/>
      <c r="P34" s="21" t="s">
        <v>255</v>
      </c>
      <c r="Q34" s="21" t="s">
        <v>57</v>
      </c>
      <c r="R34" s="40" t="s">
        <v>80</v>
      </c>
      <c r="S34" s="40">
        <v>10</v>
      </c>
      <c r="T34" s="40">
        <v>384</v>
      </c>
      <c r="U34" s="22">
        <f>3840</f>
        <v>3840</v>
      </c>
    </row>
    <row r="35" spans="1:21" ht="75" customHeight="1" thickBot="1" x14ac:dyDescent="0.25">
      <c r="A35" s="16"/>
      <c r="B35" s="20" t="s">
        <v>49</v>
      </c>
      <c r="C35" s="65" t="s">
        <v>49</v>
      </c>
      <c r="D35" s="65"/>
      <c r="E35" s="65"/>
      <c r="F35" s="65"/>
      <c r="G35" s="65"/>
      <c r="H35" s="65"/>
      <c r="I35" s="65" t="s">
        <v>904</v>
      </c>
      <c r="J35" s="65"/>
      <c r="K35" s="65"/>
      <c r="L35" s="65" t="s">
        <v>905</v>
      </c>
      <c r="M35" s="65"/>
      <c r="N35" s="65"/>
      <c r="O35" s="65"/>
      <c r="P35" s="21" t="s">
        <v>255</v>
      </c>
      <c r="Q35" s="21" t="s">
        <v>57</v>
      </c>
      <c r="R35" s="40" t="s">
        <v>80</v>
      </c>
      <c r="S35" s="40">
        <v>4</v>
      </c>
      <c r="T35" s="40">
        <v>10</v>
      </c>
      <c r="U35" s="22">
        <f>250</f>
        <v>250</v>
      </c>
    </row>
    <row r="36" spans="1:21" ht="83.25" customHeight="1" thickTop="1" x14ac:dyDescent="0.2">
      <c r="A36" s="16"/>
      <c r="B36" s="17" t="s">
        <v>44</v>
      </c>
      <c r="C36" s="74" t="s">
        <v>906</v>
      </c>
      <c r="D36" s="74"/>
      <c r="E36" s="74"/>
      <c r="F36" s="74"/>
      <c r="G36" s="74"/>
      <c r="H36" s="74"/>
      <c r="I36" s="74" t="s">
        <v>907</v>
      </c>
      <c r="J36" s="74"/>
      <c r="K36" s="74"/>
      <c r="L36" s="74" t="s">
        <v>908</v>
      </c>
      <c r="M36" s="74"/>
      <c r="N36" s="74"/>
      <c r="O36" s="74"/>
      <c r="P36" s="18" t="s">
        <v>865</v>
      </c>
      <c r="Q36" s="18" t="s">
        <v>91</v>
      </c>
      <c r="R36" s="41">
        <v>37073</v>
      </c>
      <c r="S36" s="41">
        <v>40000</v>
      </c>
      <c r="T36" s="41">
        <v>39125</v>
      </c>
      <c r="U36" s="51">
        <f>97.8</f>
        <v>97.8</v>
      </c>
    </row>
    <row r="37" spans="1:21" ht="87" customHeight="1" x14ac:dyDescent="0.2">
      <c r="A37" s="16"/>
      <c r="B37" s="20" t="s">
        <v>49</v>
      </c>
      <c r="C37" s="65" t="s">
        <v>49</v>
      </c>
      <c r="D37" s="65"/>
      <c r="E37" s="65"/>
      <c r="F37" s="65"/>
      <c r="G37" s="65"/>
      <c r="H37" s="65"/>
      <c r="I37" s="65" t="s">
        <v>909</v>
      </c>
      <c r="J37" s="65"/>
      <c r="K37" s="65"/>
      <c r="L37" s="65" t="s">
        <v>910</v>
      </c>
      <c r="M37" s="65"/>
      <c r="N37" s="65"/>
      <c r="O37" s="65"/>
      <c r="P37" s="21" t="s">
        <v>865</v>
      </c>
      <c r="Q37" s="21" t="s">
        <v>91</v>
      </c>
      <c r="R37" s="40">
        <v>5000</v>
      </c>
      <c r="S37" s="40">
        <v>45000</v>
      </c>
      <c r="T37" s="40">
        <v>135555</v>
      </c>
      <c r="U37" s="22">
        <f>301.2</f>
        <v>301.2</v>
      </c>
    </row>
    <row r="38" spans="1:21" ht="82.5" customHeight="1" x14ac:dyDescent="0.2">
      <c r="A38" s="16"/>
      <c r="B38" s="20" t="s">
        <v>49</v>
      </c>
      <c r="C38" s="65" t="s">
        <v>49</v>
      </c>
      <c r="D38" s="65"/>
      <c r="E38" s="65"/>
      <c r="F38" s="65"/>
      <c r="G38" s="65"/>
      <c r="H38" s="65"/>
      <c r="I38" s="65" t="s">
        <v>911</v>
      </c>
      <c r="J38" s="65"/>
      <c r="K38" s="65"/>
      <c r="L38" s="65" t="s">
        <v>912</v>
      </c>
      <c r="M38" s="65"/>
      <c r="N38" s="65"/>
      <c r="O38" s="65"/>
      <c r="P38" s="21" t="s">
        <v>255</v>
      </c>
      <c r="Q38" s="21" t="s">
        <v>91</v>
      </c>
      <c r="R38" s="40">
        <v>8000</v>
      </c>
      <c r="S38" s="40">
        <v>8000</v>
      </c>
      <c r="T38" s="40">
        <v>3742</v>
      </c>
      <c r="U38" s="22">
        <f>46.8</f>
        <v>46.8</v>
      </c>
    </row>
    <row r="39" spans="1:21" ht="75" customHeight="1" x14ac:dyDescent="0.2">
      <c r="A39" s="16"/>
      <c r="B39" s="20" t="s">
        <v>49</v>
      </c>
      <c r="C39" s="65" t="s">
        <v>49</v>
      </c>
      <c r="D39" s="65"/>
      <c r="E39" s="65"/>
      <c r="F39" s="65"/>
      <c r="G39" s="65"/>
      <c r="H39" s="65"/>
      <c r="I39" s="65" t="s">
        <v>913</v>
      </c>
      <c r="J39" s="65"/>
      <c r="K39" s="65"/>
      <c r="L39" s="65" t="s">
        <v>914</v>
      </c>
      <c r="M39" s="65"/>
      <c r="N39" s="65"/>
      <c r="O39" s="65"/>
      <c r="P39" s="21" t="s">
        <v>865</v>
      </c>
      <c r="Q39" s="21" t="s">
        <v>91</v>
      </c>
      <c r="R39" s="40">
        <v>50000</v>
      </c>
      <c r="S39" s="40">
        <v>100000</v>
      </c>
      <c r="T39" s="40">
        <v>89256</v>
      </c>
      <c r="U39" s="22">
        <f>89.3</f>
        <v>89.3</v>
      </c>
    </row>
    <row r="40" spans="1:21" ht="75" customHeight="1" x14ac:dyDescent="0.2">
      <c r="A40" s="16"/>
      <c r="B40" s="20" t="s">
        <v>49</v>
      </c>
      <c r="C40" s="65" t="s">
        <v>915</v>
      </c>
      <c r="D40" s="65"/>
      <c r="E40" s="65"/>
      <c r="F40" s="65"/>
      <c r="G40" s="65"/>
      <c r="H40" s="65"/>
      <c r="I40" s="65" t="s">
        <v>916</v>
      </c>
      <c r="J40" s="65"/>
      <c r="K40" s="65"/>
      <c r="L40" s="65" t="s">
        <v>917</v>
      </c>
      <c r="M40" s="65"/>
      <c r="N40" s="65"/>
      <c r="O40" s="65"/>
      <c r="P40" s="21" t="s">
        <v>865</v>
      </c>
      <c r="Q40" s="21" t="s">
        <v>91</v>
      </c>
      <c r="R40" s="40">
        <v>37000</v>
      </c>
      <c r="S40" s="40">
        <v>37000</v>
      </c>
      <c r="T40" s="40">
        <v>29292</v>
      </c>
      <c r="U40" s="22">
        <f>79.2</f>
        <v>79.2</v>
      </c>
    </row>
    <row r="41" spans="1:21" ht="75" customHeight="1" x14ac:dyDescent="0.2">
      <c r="A41" s="16"/>
      <c r="B41" s="20" t="s">
        <v>49</v>
      </c>
      <c r="C41" s="65" t="s">
        <v>49</v>
      </c>
      <c r="D41" s="65"/>
      <c r="E41" s="65"/>
      <c r="F41" s="65"/>
      <c r="G41" s="65"/>
      <c r="H41" s="65"/>
      <c r="I41" s="65" t="s">
        <v>918</v>
      </c>
      <c r="J41" s="65"/>
      <c r="K41" s="65"/>
      <c r="L41" s="65" t="s">
        <v>919</v>
      </c>
      <c r="M41" s="65"/>
      <c r="N41" s="65"/>
      <c r="O41" s="65"/>
      <c r="P41" s="21" t="s">
        <v>865</v>
      </c>
      <c r="Q41" s="21" t="s">
        <v>91</v>
      </c>
      <c r="R41" s="40">
        <v>48333</v>
      </c>
      <c r="S41" s="40">
        <v>48333</v>
      </c>
      <c r="T41" s="40">
        <v>59810</v>
      </c>
      <c r="U41" s="22">
        <f>123.7</f>
        <v>123.7</v>
      </c>
    </row>
    <row r="42" spans="1:21" ht="75" customHeight="1" x14ac:dyDescent="0.2">
      <c r="A42" s="16"/>
      <c r="B42" s="20" t="s">
        <v>49</v>
      </c>
      <c r="C42" s="65" t="s">
        <v>49</v>
      </c>
      <c r="D42" s="65"/>
      <c r="E42" s="65"/>
      <c r="F42" s="65"/>
      <c r="G42" s="65"/>
      <c r="H42" s="65"/>
      <c r="I42" s="65" t="s">
        <v>920</v>
      </c>
      <c r="J42" s="65"/>
      <c r="K42" s="65"/>
      <c r="L42" s="65" t="s">
        <v>921</v>
      </c>
      <c r="M42" s="65"/>
      <c r="N42" s="65"/>
      <c r="O42" s="65"/>
      <c r="P42" s="21" t="s">
        <v>865</v>
      </c>
      <c r="Q42" s="21" t="s">
        <v>91</v>
      </c>
      <c r="R42" s="40">
        <v>120000</v>
      </c>
      <c r="S42" s="40">
        <v>120000</v>
      </c>
      <c r="T42" s="40">
        <v>132389</v>
      </c>
      <c r="U42" s="22">
        <f>110.3</f>
        <v>110.3</v>
      </c>
    </row>
    <row r="43" spans="1:21" ht="75" customHeight="1" x14ac:dyDescent="0.2">
      <c r="A43" s="16"/>
      <c r="B43" s="20" t="s">
        <v>49</v>
      </c>
      <c r="C43" s="65" t="s">
        <v>49</v>
      </c>
      <c r="D43" s="65"/>
      <c r="E43" s="65"/>
      <c r="F43" s="65"/>
      <c r="G43" s="65"/>
      <c r="H43" s="65"/>
      <c r="I43" s="65" t="s">
        <v>922</v>
      </c>
      <c r="J43" s="65"/>
      <c r="K43" s="65"/>
      <c r="L43" s="65" t="s">
        <v>923</v>
      </c>
      <c r="M43" s="65"/>
      <c r="N43" s="65"/>
      <c r="O43" s="65"/>
      <c r="P43" s="21" t="s">
        <v>877</v>
      </c>
      <c r="Q43" s="21" t="s">
        <v>91</v>
      </c>
      <c r="R43" s="40">
        <v>155</v>
      </c>
      <c r="S43" s="40">
        <v>155</v>
      </c>
      <c r="T43" s="40">
        <v>227</v>
      </c>
      <c r="U43" s="22">
        <f>146.5</f>
        <v>146.5</v>
      </c>
    </row>
    <row r="44" spans="1:21" ht="75" customHeight="1" x14ac:dyDescent="0.2">
      <c r="A44" s="16"/>
      <c r="B44" s="20" t="s">
        <v>49</v>
      </c>
      <c r="C44" s="65" t="s">
        <v>49</v>
      </c>
      <c r="D44" s="65"/>
      <c r="E44" s="65"/>
      <c r="F44" s="65"/>
      <c r="G44" s="65"/>
      <c r="H44" s="65"/>
      <c r="I44" s="65" t="s">
        <v>924</v>
      </c>
      <c r="J44" s="65"/>
      <c r="K44" s="65"/>
      <c r="L44" s="65" t="s">
        <v>925</v>
      </c>
      <c r="M44" s="65"/>
      <c r="N44" s="65"/>
      <c r="O44" s="65"/>
      <c r="P44" s="21" t="s">
        <v>926</v>
      </c>
      <c r="Q44" s="21" t="s">
        <v>91</v>
      </c>
      <c r="R44" s="40">
        <v>3</v>
      </c>
      <c r="S44" s="40">
        <v>3</v>
      </c>
      <c r="T44" s="40">
        <v>2</v>
      </c>
      <c r="U44" s="22">
        <f>66.7</f>
        <v>66.7</v>
      </c>
    </row>
    <row r="45" spans="1:21" ht="75" customHeight="1" x14ac:dyDescent="0.2">
      <c r="A45" s="16"/>
      <c r="B45" s="20" t="s">
        <v>49</v>
      </c>
      <c r="C45" s="65" t="s">
        <v>927</v>
      </c>
      <c r="D45" s="65"/>
      <c r="E45" s="65"/>
      <c r="F45" s="65"/>
      <c r="G45" s="65"/>
      <c r="H45" s="65"/>
      <c r="I45" s="65" t="s">
        <v>928</v>
      </c>
      <c r="J45" s="65"/>
      <c r="K45" s="65"/>
      <c r="L45" s="65" t="s">
        <v>929</v>
      </c>
      <c r="M45" s="65"/>
      <c r="N45" s="65"/>
      <c r="O45" s="65"/>
      <c r="P45" s="21" t="s">
        <v>892</v>
      </c>
      <c r="Q45" s="21" t="s">
        <v>91</v>
      </c>
      <c r="R45" s="40">
        <v>650</v>
      </c>
      <c r="S45" s="40">
        <v>650</v>
      </c>
      <c r="T45" s="40">
        <v>810</v>
      </c>
      <c r="U45" s="22">
        <f>124.6</f>
        <v>124.6</v>
      </c>
    </row>
    <row r="46" spans="1:21" ht="75" customHeight="1" x14ac:dyDescent="0.2">
      <c r="A46" s="16"/>
      <c r="B46" s="20" t="s">
        <v>49</v>
      </c>
      <c r="C46" s="65" t="s">
        <v>49</v>
      </c>
      <c r="D46" s="65"/>
      <c r="E46" s="65"/>
      <c r="F46" s="65"/>
      <c r="G46" s="65"/>
      <c r="H46" s="65"/>
      <c r="I46" s="65" t="s">
        <v>930</v>
      </c>
      <c r="J46" s="65"/>
      <c r="K46" s="65"/>
      <c r="L46" s="65" t="s">
        <v>931</v>
      </c>
      <c r="M46" s="65"/>
      <c r="N46" s="65"/>
      <c r="O46" s="65"/>
      <c r="P46" s="21" t="s">
        <v>255</v>
      </c>
      <c r="Q46" s="21" t="s">
        <v>91</v>
      </c>
      <c r="R46" s="40">
        <v>200</v>
      </c>
      <c r="S46" s="40">
        <v>200</v>
      </c>
      <c r="T46" s="40">
        <v>88</v>
      </c>
      <c r="U46" s="22">
        <f>44</f>
        <v>44</v>
      </c>
    </row>
    <row r="47" spans="1:21" ht="75" customHeight="1" x14ac:dyDescent="0.2">
      <c r="A47" s="16"/>
      <c r="B47" s="20" t="s">
        <v>49</v>
      </c>
      <c r="C47" s="65" t="s">
        <v>49</v>
      </c>
      <c r="D47" s="65"/>
      <c r="E47" s="65"/>
      <c r="F47" s="65"/>
      <c r="G47" s="65"/>
      <c r="H47" s="65"/>
      <c r="I47" s="65" t="s">
        <v>932</v>
      </c>
      <c r="J47" s="65"/>
      <c r="K47" s="65"/>
      <c r="L47" s="65" t="s">
        <v>933</v>
      </c>
      <c r="M47" s="65"/>
      <c r="N47" s="65"/>
      <c r="O47" s="65"/>
      <c r="P47" s="21" t="s">
        <v>255</v>
      </c>
      <c r="Q47" s="21" t="s">
        <v>91</v>
      </c>
      <c r="R47" s="40">
        <v>515</v>
      </c>
      <c r="S47" s="40">
        <v>515</v>
      </c>
      <c r="T47" s="40">
        <v>244</v>
      </c>
      <c r="U47" s="22">
        <f>47.4</f>
        <v>47.4</v>
      </c>
    </row>
    <row r="48" spans="1:21" ht="75" customHeight="1" x14ac:dyDescent="0.2">
      <c r="A48" s="16"/>
      <c r="B48" s="20" t="s">
        <v>49</v>
      </c>
      <c r="C48" s="65" t="s">
        <v>49</v>
      </c>
      <c r="D48" s="65"/>
      <c r="E48" s="65"/>
      <c r="F48" s="65"/>
      <c r="G48" s="65"/>
      <c r="H48" s="65"/>
      <c r="I48" s="65" t="s">
        <v>934</v>
      </c>
      <c r="J48" s="65"/>
      <c r="K48" s="65"/>
      <c r="L48" s="65" t="s">
        <v>935</v>
      </c>
      <c r="M48" s="65"/>
      <c r="N48" s="65"/>
      <c r="O48" s="65"/>
      <c r="P48" s="21" t="s">
        <v>255</v>
      </c>
      <c r="Q48" s="21" t="s">
        <v>91</v>
      </c>
      <c r="R48" s="40">
        <v>650</v>
      </c>
      <c r="S48" s="40">
        <v>650</v>
      </c>
      <c r="T48" s="40">
        <v>0</v>
      </c>
      <c r="U48" s="22">
        <f>0</f>
        <v>0</v>
      </c>
    </row>
    <row r="49" spans="1:22" ht="90" customHeight="1" x14ac:dyDescent="0.2">
      <c r="A49" s="16"/>
      <c r="B49" s="20" t="s">
        <v>49</v>
      </c>
      <c r="C49" s="65" t="s">
        <v>49</v>
      </c>
      <c r="D49" s="65"/>
      <c r="E49" s="65"/>
      <c r="F49" s="65"/>
      <c r="G49" s="65"/>
      <c r="H49" s="65"/>
      <c r="I49" s="65" t="s">
        <v>936</v>
      </c>
      <c r="J49" s="65"/>
      <c r="K49" s="65"/>
      <c r="L49" s="65" t="s">
        <v>937</v>
      </c>
      <c r="M49" s="65"/>
      <c r="N49" s="65"/>
      <c r="O49" s="65"/>
      <c r="P49" s="21" t="s">
        <v>255</v>
      </c>
      <c r="Q49" s="21" t="s">
        <v>91</v>
      </c>
      <c r="R49" s="40">
        <v>35</v>
      </c>
      <c r="S49" s="40">
        <v>35</v>
      </c>
      <c r="T49" s="40">
        <v>35</v>
      </c>
      <c r="U49" s="22">
        <f>100</f>
        <v>100</v>
      </c>
    </row>
    <row r="50" spans="1:22" ht="75" customHeight="1" x14ac:dyDescent="0.2">
      <c r="A50" s="16"/>
      <c r="B50" s="20" t="s">
        <v>49</v>
      </c>
      <c r="C50" s="65" t="s">
        <v>49</v>
      </c>
      <c r="D50" s="65"/>
      <c r="E50" s="65"/>
      <c r="F50" s="65"/>
      <c r="G50" s="65"/>
      <c r="H50" s="65"/>
      <c r="I50" s="65" t="s">
        <v>938</v>
      </c>
      <c r="J50" s="65"/>
      <c r="K50" s="65"/>
      <c r="L50" s="65" t="s">
        <v>939</v>
      </c>
      <c r="M50" s="65"/>
      <c r="N50" s="65"/>
      <c r="O50" s="65"/>
      <c r="P50" s="21" t="s">
        <v>255</v>
      </c>
      <c r="Q50" s="21" t="s">
        <v>91</v>
      </c>
      <c r="R50" s="40">
        <v>10</v>
      </c>
      <c r="S50" s="40">
        <v>10</v>
      </c>
      <c r="T50" s="40">
        <v>10</v>
      </c>
      <c r="U50" s="22">
        <f>100</f>
        <v>100</v>
      </c>
    </row>
    <row r="51" spans="1:22" ht="75" customHeight="1" x14ac:dyDescent="0.2">
      <c r="A51" s="16"/>
      <c r="B51" s="20" t="s">
        <v>49</v>
      </c>
      <c r="C51" s="65" t="s">
        <v>49</v>
      </c>
      <c r="D51" s="65"/>
      <c r="E51" s="65"/>
      <c r="F51" s="65"/>
      <c r="G51" s="65"/>
      <c r="H51" s="65"/>
      <c r="I51" s="65" t="s">
        <v>940</v>
      </c>
      <c r="J51" s="65"/>
      <c r="K51" s="65"/>
      <c r="L51" s="65" t="s">
        <v>941</v>
      </c>
      <c r="M51" s="65"/>
      <c r="N51" s="65"/>
      <c r="O51" s="65"/>
      <c r="P51" s="21" t="s">
        <v>255</v>
      </c>
      <c r="Q51" s="21" t="s">
        <v>91</v>
      </c>
      <c r="R51" s="40">
        <v>849</v>
      </c>
      <c r="S51" s="40">
        <v>20</v>
      </c>
      <c r="T51" s="40">
        <v>66</v>
      </c>
      <c r="U51" s="22">
        <f>330</f>
        <v>330</v>
      </c>
    </row>
    <row r="52" spans="1:22" ht="105.75" customHeight="1" x14ac:dyDescent="0.2">
      <c r="A52" s="16"/>
      <c r="B52" s="20" t="s">
        <v>49</v>
      </c>
      <c r="C52" s="65" t="s">
        <v>49</v>
      </c>
      <c r="D52" s="65"/>
      <c r="E52" s="65"/>
      <c r="F52" s="65"/>
      <c r="G52" s="65"/>
      <c r="H52" s="65"/>
      <c r="I52" s="65" t="s">
        <v>942</v>
      </c>
      <c r="J52" s="65"/>
      <c r="K52" s="65"/>
      <c r="L52" s="65" t="s">
        <v>943</v>
      </c>
      <c r="M52" s="65"/>
      <c r="N52" s="65"/>
      <c r="O52" s="65"/>
      <c r="P52" s="21" t="s">
        <v>255</v>
      </c>
      <c r="Q52" s="21" t="s">
        <v>91</v>
      </c>
      <c r="R52" s="40">
        <v>32</v>
      </c>
      <c r="S52" s="40">
        <v>32</v>
      </c>
      <c r="T52" s="40">
        <v>32</v>
      </c>
      <c r="U52" s="22">
        <f>100</f>
        <v>100</v>
      </c>
    </row>
    <row r="53" spans="1:22" ht="75" customHeight="1" x14ac:dyDescent="0.2">
      <c r="A53" s="16"/>
      <c r="B53" s="20" t="s">
        <v>49</v>
      </c>
      <c r="C53" s="65" t="s">
        <v>49</v>
      </c>
      <c r="D53" s="65"/>
      <c r="E53" s="65"/>
      <c r="F53" s="65"/>
      <c r="G53" s="65"/>
      <c r="H53" s="65"/>
      <c r="I53" s="65" t="s">
        <v>944</v>
      </c>
      <c r="J53" s="65"/>
      <c r="K53" s="65"/>
      <c r="L53" s="65" t="s">
        <v>945</v>
      </c>
      <c r="M53" s="65"/>
      <c r="N53" s="65"/>
      <c r="O53" s="65"/>
      <c r="P53" s="21" t="s">
        <v>255</v>
      </c>
      <c r="Q53" s="21" t="s">
        <v>91</v>
      </c>
      <c r="R53" s="40" t="s">
        <v>80</v>
      </c>
      <c r="S53" s="40">
        <v>10</v>
      </c>
      <c r="T53" s="40">
        <v>384</v>
      </c>
      <c r="U53" s="22">
        <f>3840</f>
        <v>3840</v>
      </c>
    </row>
    <row r="54" spans="1:22" ht="75" customHeight="1" x14ac:dyDescent="0.2">
      <c r="A54" s="16"/>
      <c r="B54" s="20" t="s">
        <v>49</v>
      </c>
      <c r="C54" s="65" t="s">
        <v>49</v>
      </c>
      <c r="D54" s="65"/>
      <c r="E54" s="65"/>
      <c r="F54" s="65"/>
      <c r="G54" s="65"/>
      <c r="H54" s="65"/>
      <c r="I54" s="65" t="s">
        <v>946</v>
      </c>
      <c r="J54" s="65"/>
      <c r="K54" s="65"/>
      <c r="L54" s="65" t="s">
        <v>947</v>
      </c>
      <c r="M54" s="65"/>
      <c r="N54" s="65"/>
      <c r="O54" s="65"/>
      <c r="P54" s="21" t="s">
        <v>255</v>
      </c>
      <c r="Q54" s="21" t="s">
        <v>91</v>
      </c>
      <c r="R54" s="40" t="s">
        <v>80</v>
      </c>
      <c r="S54" s="40">
        <v>4</v>
      </c>
      <c r="T54" s="40">
        <v>10</v>
      </c>
      <c r="U54" s="22">
        <f>250</f>
        <v>250</v>
      </c>
    </row>
    <row r="55" spans="1:22" ht="75" customHeight="1" x14ac:dyDescent="0.2">
      <c r="A55" s="16"/>
      <c r="B55" s="20" t="s">
        <v>49</v>
      </c>
      <c r="C55" s="65" t="s">
        <v>948</v>
      </c>
      <c r="D55" s="65"/>
      <c r="E55" s="65"/>
      <c r="F55" s="65"/>
      <c r="G55" s="65"/>
      <c r="H55" s="65"/>
      <c r="I55" s="65" t="s">
        <v>949</v>
      </c>
      <c r="J55" s="65"/>
      <c r="K55" s="65"/>
      <c r="L55" s="65" t="s">
        <v>950</v>
      </c>
      <c r="M55" s="65"/>
      <c r="N55" s="65"/>
      <c r="O55" s="65"/>
      <c r="P55" s="21" t="s">
        <v>951</v>
      </c>
      <c r="Q55" s="21" t="s">
        <v>91</v>
      </c>
      <c r="R55" s="40">
        <v>1000</v>
      </c>
      <c r="S55" s="40">
        <v>3500</v>
      </c>
      <c r="T55" s="40">
        <v>3001</v>
      </c>
      <c r="U55" s="22">
        <f>85.7</f>
        <v>85.7</v>
      </c>
    </row>
    <row r="56" spans="1:22" ht="75" customHeight="1" x14ac:dyDescent="0.2">
      <c r="A56" s="16"/>
      <c r="B56" s="20" t="s">
        <v>49</v>
      </c>
      <c r="C56" s="65" t="s">
        <v>952</v>
      </c>
      <c r="D56" s="65"/>
      <c r="E56" s="65"/>
      <c r="F56" s="65"/>
      <c r="G56" s="65"/>
      <c r="H56" s="65"/>
      <c r="I56" s="65" t="s">
        <v>953</v>
      </c>
      <c r="J56" s="65"/>
      <c r="K56" s="65"/>
      <c r="L56" s="65" t="s">
        <v>954</v>
      </c>
      <c r="M56" s="65"/>
      <c r="N56" s="65"/>
      <c r="O56" s="65"/>
      <c r="P56" s="21" t="s">
        <v>955</v>
      </c>
      <c r="Q56" s="21" t="s">
        <v>91</v>
      </c>
      <c r="R56" s="40">
        <v>150</v>
      </c>
      <c r="S56" s="40">
        <v>150</v>
      </c>
      <c r="T56" s="40">
        <v>150</v>
      </c>
      <c r="U56" s="22">
        <f>100</f>
        <v>100</v>
      </c>
    </row>
    <row r="57" spans="1:22" ht="75" customHeight="1" thickBot="1" x14ac:dyDescent="0.25">
      <c r="A57" s="16"/>
      <c r="B57" s="20" t="s">
        <v>49</v>
      </c>
      <c r="C57" s="65" t="s">
        <v>956</v>
      </c>
      <c r="D57" s="65"/>
      <c r="E57" s="65"/>
      <c r="F57" s="65"/>
      <c r="G57" s="65"/>
      <c r="H57" s="65"/>
      <c r="I57" s="65" t="s">
        <v>957</v>
      </c>
      <c r="J57" s="65"/>
      <c r="K57" s="65"/>
      <c r="L57" s="65" t="s">
        <v>958</v>
      </c>
      <c r="M57" s="65"/>
      <c r="N57" s="65"/>
      <c r="O57" s="65"/>
      <c r="P57" s="21" t="s">
        <v>955</v>
      </c>
      <c r="Q57" s="21" t="s">
        <v>91</v>
      </c>
      <c r="R57" s="40">
        <v>200</v>
      </c>
      <c r="S57" s="40">
        <v>200</v>
      </c>
      <c r="T57" s="40">
        <v>200</v>
      </c>
      <c r="U57" s="22">
        <f>100</f>
        <v>100</v>
      </c>
    </row>
    <row r="58" spans="1:22" ht="14.25" customHeight="1" thickTop="1" thickBot="1" x14ac:dyDescent="0.25">
      <c r="B58" s="4" t="s">
        <v>58</v>
      </c>
      <c r="C58" s="5"/>
      <c r="D58" s="5"/>
      <c r="E58" s="5"/>
      <c r="F58" s="5"/>
      <c r="G58" s="5"/>
      <c r="H58" s="6"/>
      <c r="I58" s="6"/>
      <c r="J58" s="6"/>
      <c r="K58" s="6"/>
      <c r="L58" s="6"/>
      <c r="M58" s="6"/>
      <c r="N58" s="6"/>
      <c r="O58" s="6"/>
      <c r="P58" s="6"/>
      <c r="Q58" s="6"/>
      <c r="R58" s="6"/>
      <c r="S58" s="6"/>
      <c r="T58" s="6"/>
      <c r="U58" s="7"/>
      <c r="V58" s="23"/>
    </row>
    <row r="59" spans="1:22" ht="26.25" customHeight="1" thickTop="1" x14ac:dyDescent="0.2">
      <c r="B59" s="24"/>
      <c r="C59" s="25"/>
      <c r="D59" s="25"/>
      <c r="E59" s="25"/>
      <c r="F59" s="25"/>
      <c r="G59" s="25"/>
      <c r="H59" s="26"/>
      <c r="I59" s="26"/>
      <c r="J59" s="26"/>
      <c r="K59" s="26"/>
      <c r="L59" s="26"/>
      <c r="M59" s="26"/>
      <c r="N59" s="26"/>
      <c r="O59" s="26"/>
      <c r="P59" s="26"/>
      <c r="Q59" s="26"/>
      <c r="R59" s="27"/>
      <c r="S59" s="28" t="s">
        <v>33</v>
      </c>
      <c r="T59" s="28" t="s">
        <v>59</v>
      </c>
      <c r="U59" s="13" t="s">
        <v>60</v>
      </c>
    </row>
    <row r="60" spans="1:22" ht="33.75" customHeight="1" thickBot="1" x14ac:dyDescent="0.25">
      <c r="B60" s="29"/>
      <c r="C60" s="30"/>
      <c r="D60" s="30"/>
      <c r="E60" s="30"/>
      <c r="F60" s="30"/>
      <c r="G60" s="30"/>
      <c r="H60" s="31"/>
      <c r="I60" s="31"/>
      <c r="J60" s="31"/>
      <c r="K60" s="31"/>
      <c r="L60" s="31"/>
      <c r="M60" s="31"/>
      <c r="N60" s="31"/>
      <c r="O60" s="31"/>
      <c r="P60" s="31"/>
      <c r="Q60" s="31"/>
      <c r="R60" s="31"/>
      <c r="S60" s="32" t="s">
        <v>61</v>
      </c>
      <c r="T60" s="33" t="s">
        <v>61</v>
      </c>
      <c r="U60" s="33" t="s">
        <v>62</v>
      </c>
    </row>
    <row r="61" spans="1:22" ht="23.25" customHeight="1" thickBot="1" x14ac:dyDescent="0.25">
      <c r="B61" s="67" t="s">
        <v>63</v>
      </c>
      <c r="C61" s="68"/>
      <c r="D61" s="68"/>
      <c r="E61" s="34"/>
      <c r="F61" s="34"/>
      <c r="G61" s="34"/>
      <c r="H61" s="35"/>
      <c r="I61" s="35"/>
      <c r="J61" s="35"/>
      <c r="K61" s="35"/>
      <c r="L61" s="35"/>
      <c r="M61" s="35"/>
      <c r="N61" s="35"/>
      <c r="O61" s="35"/>
      <c r="P61" s="36"/>
      <c r="Q61" s="36"/>
      <c r="R61" s="36"/>
      <c r="S61" s="53">
        <v>6631.3941649999997</v>
      </c>
      <c r="T61" s="53">
        <v>6088.0729143599965</v>
      </c>
      <c r="U61" s="54">
        <f>+IF(ISERR(T61/S61*100),"N/A",ROUND(T61/S61*100,1))</f>
        <v>91.8</v>
      </c>
    </row>
    <row r="62" spans="1:22" ht="23.25" customHeight="1" thickBot="1" x14ac:dyDescent="0.25">
      <c r="B62" s="69" t="s">
        <v>64</v>
      </c>
      <c r="C62" s="70"/>
      <c r="D62" s="70"/>
      <c r="E62" s="37"/>
      <c r="F62" s="37"/>
      <c r="G62" s="37"/>
      <c r="H62" s="38"/>
      <c r="I62" s="38"/>
      <c r="J62" s="38"/>
      <c r="K62" s="38"/>
      <c r="L62" s="38"/>
      <c r="M62" s="38"/>
      <c r="N62" s="38"/>
      <c r="O62" s="38"/>
      <c r="P62" s="39"/>
      <c r="Q62" s="39"/>
      <c r="R62" s="39"/>
      <c r="S62" s="53">
        <v>6088.3321445299962</v>
      </c>
      <c r="T62" s="53">
        <v>6088.0729143599965</v>
      </c>
      <c r="U62" s="54">
        <f>+IF(ISERR(T62/S62*100),"N/A",ROUND(T62/S62*100,1))</f>
        <v>100</v>
      </c>
    </row>
    <row r="63" spans="1:22" ht="14.85" customHeight="1" thickTop="1" thickBot="1" x14ac:dyDescent="0.25">
      <c r="B63" s="4" t="s">
        <v>65</v>
      </c>
      <c r="C63" s="5"/>
      <c r="D63" s="5"/>
      <c r="E63" s="5"/>
      <c r="F63" s="5"/>
      <c r="G63" s="5"/>
      <c r="H63" s="6"/>
      <c r="I63" s="6"/>
      <c r="J63" s="6"/>
      <c r="K63" s="6"/>
      <c r="L63" s="6"/>
      <c r="M63" s="6"/>
      <c r="N63" s="6"/>
      <c r="O63" s="6"/>
      <c r="P63" s="6"/>
      <c r="Q63" s="6"/>
      <c r="R63" s="6"/>
      <c r="S63" s="6"/>
      <c r="T63" s="6"/>
      <c r="U63" s="7"/>
    </row>
    <row r="64" spans="1:22" ht="44.25" customHeight="1" thickTop="1" x14ac:dyDescent="0.2">
      <c r="B64" s="71" t="s">
        <v>66</v>
      </c>
      <c r="C64" s="72"/>
      <c r="D64" s="72"/>
      <c r="E64" s="72"/>
      <c r="F64" s="72"/>
      <c r="G64" s="72"/>
      <c r="H64" s="72"/>
      <c r="I64" s="72"/>
      <c r="J64" s="72"/>
      <c r="K64" s="72"/>
      <c r="L64" s="72"/>
      <c r="M64" s="72"/>
      <c r="N64" s="72"/>
      <c r="O64" s="72"/>
      <c r="P64" s="72"/>
      <c r="Q64" s="72"/>
      <c r="R64" s="72"/>
      <c r="S64" s="72"/>
      <c r="T64" s="72"/>
      <c r="U64" s="73"/>
    </row>
    <row r="65" spans="2:21" ht="84.75" customHeight="1" x14ac:dyDescent="0.2">
      <c r="B65" s="59" t="s">
        <v>959</v>
      </c>
      <c r="C65" s="60"/>
      <c r="D65" s="60"/>
      <c r="E65" s="60"/>
      <c r="F65" s="60"/>
      <c r="G65" s="60"/>
      <c r="H65" s="60"/>
      <c r="I65" s="60"/>
      <c r="J65" s="60"/>
      <c r="K65" s="60"/>
      <c r="L65" s="60"/>
      <c r="M65" s="60"/>
      <c r="N65" s="60"/>
      <c r="O65" s="60"/>
      <c r="P65" s="60"/>
      <c r="Q65" s="60"/>
      <c r="R65" s="60"/>
      <c r="S65" s="60"/>
      <c r="T65" s="60"/>
      <c r="U65" s="61"/>
    </row>
    <row r="66" spans="2:21" ht="117.75" customHeight="1" x14ac:dyDescent="0.2">
      <c r="B66" s="59" t="s">
        <v>960</v>
      </c>
      <c r="C66" s="60"/>
      <c r="D66" s="60"/>
      <c r="E66" s="60"/>
      <c r="F66" s="60"/>
      <c r="G66" s="60"/>
      <c r="H66" s="60"/>
      <c r="I66" s="60"/>
      <c r="J66" s="60"/>
      <c r="K66" s="60"/>
      <c r="L66" s="60"/>
      <c r="M66" s="60"/>
      <c r="N66" s="60"/>
      <c r="O66" s="60"/>
      <c r="P66" s="60"/>
      <c r="Q66" s="60"/>
      <c r="R66" s="60"/>
      <c r="S66" s="60"/>
      <c r="T66" s="60"/>
      <c r="U66" s="61"/>
    </row>
    <row r="67" spans="2:21" ht="72.75" customHeight="1" x14ac:dyDescent="0.2">
      <c r="B67" s="59" t="s">
        <v>961</v>
      </c>
      <c r="C67" s="60"/>
      <c r="D67" s="60"/>
      <c r="E67" s="60"/>
      <c r="F67" s="60"/>
      <c r="G67" s="60"/>
      <c r="H67" s="60"/>
      <c r="I67" s="60"/>
      <c r="J67" s="60"/>
      <c r="K67" s="60"/>
      <c r="L67" s="60"/>
      <c r="M67" s="60"/>
      <c r="N67" s="60"/>
      <c r="O67" s="60"/>
      <c r="P67" s="60"/>
      <c r="Q67" s="60"/>
      <c r="R67" s="60"/>
      <c r="S67" s="60"/>
      <c r="T67" s="60"/>
      <c r="U67" s="61"/>
    </row>
    <row r="68" spans="2:21" ht="72.75" customHeight="1" x14ac:dyDescent="0.2">
      <c r="B68" s="59" t="s">
        <v>962</v>
      </c>
      <c r="C68" s="60"/>
      <c r="D68" s="60"/>
      <c r="E68" s="60"/>
      <c r="F68" s="60"/>
      <c r="G68" s="60"/>
      <c r="H68" s="60"/>
      <c r="I68" s="60"/>
      <c r="J68" s="60"/>
      <c r="K68" s="60"/>
      <c r="L68" s="60"/>
      <c r="M68" s="60"/>
      <c r="N68" s="60"/>
      <c r="O68" s="60"/>
      <c r="P68" s="60"/>
      <c r="Q68" s="60"/>
      <c r="R68" s="60"/>
      <c r="S68" s="60"/>
      <c r="T68" s="60"/>
      <c r="U68" s="61"/>
    </row>
    <row r="69" spans="2:21" ht="72.75" customHeight="1" x14ac:dyDescent="0.2">
      <c r="B69" s="59" t="s">
        <v>963</v>
      </c>
      <c r="C69" s="60"/>
      <c r="D69" s="60"/>
      <c r="E69" s="60"/>
      <c r="F69" s="60"/>
      <c r="G69" s="60"/>
      <c r="H69" s="60"/>
      <c r="I69" s="60"/>
      <c r="J69" s="60"/>
      <c r="K69" s="60"/>
      <c r="L69" s="60"/>
      <c r="M69" s="60"/>
      <c r="N69" s="60"/>
      <c r="O69" s="60"/>
      <c r="P69" s="60"/>
      <c r="Q69" s="60"/>
      <c r="R69" s="60"/>
      <c r="S69" s="60"/>
      <c r="T69" s="60"/>
      <c r="U69" s="61"/>
    </row>
    <row r="70" spans="2:21" ht="72.75" customHeight="1" x14ac:dyDescent="0.2">
      <c r="B70" s="59" t="s">
        <v>964</v>
      </c>
      <c r="C70" s="60"/>
      <c r="D70" s="60"/>
      <c r="E70" s="60"/>
      <c r="F70" s="60"/>
      <c r="G70" s="60"/>
      <c r="H70" s="60"/>
      <c r="I70" s="60"/>
      <c r="J70" s="60"/>
      <c r="K70" s="60"/>
      <c r="L70" s="60"/>
      <c r="M70" s="60"/>
      <c r="N70" s="60"/>
      <c r="O70" s="60"/>
      <c r="P70" s="60"/>
      <c r="Q70" s="60"/>
      <c r="R70" s="60"/>
      <c r="S70" s="60"/>
      <c r="T70" s="60"/>
      <c r="U70" s="61"/>
    </row>
    <row r="71" spans="2:21" ht="72.75" customHeight="1" x14ac:dyDescent="0.2">
      <c r="B71" s="59" t="s">
        <v>965</v>
      </c>
      <c r="C71" s="60"/>
      <c r="D71" s="60"/>
      <c r="E71" s="60"/>
      <c r="F71" s="60"/>
      <c r="G71" s="60"/>
      <c r="H71" s="60"/>
      <c r="I71" s="60"/>
      <c r="J71" s="60"/>
      <c r="K71" s="60"/>
      <c r="L71" s="60"/>
      <c r="M71" s="60"/>
      <c r="N71" s="60"/>
      <c r="O71" s="60"/>
      <c r="P71" s="60"/>
      <c r="Q71" s="60"/>
      <c r="R71" s="60"/>
      <c r="S71" s="60"/>
      <c r="T71" s="60"/>
      <c r="U71" s="61"/>
    </row>
    <row r="72" spans="2:21" ht="72.75" customHeight="1" x14ac:dyDescent="0.2">
      <c r="B72" s="59" t="s">
        <v>966</v>
      </c>
      <c r="C72" s="60"/>
      <c r="D72" s="60"/>
      <c r="E72" s="60"/>
      <c r="F72" s="60"/>
      <c r="G72" s="60"/>
      <c r="H72" s="60"/>
      <c r="I72" s="60"/>
      <c r="J72" s="60"/>
      <c r="K72" s="60"/>
      <c r="L72" s="60"/>
      <c r="M72" s="60"/>
      <c r="N72" s="60"/>
      <c r="O72" s="60"/>
      <c r="P72" s="60"/>
      <c r="Q72" s="60"/>
      <c r="R72" s="60"/>
      <c r="S72" s="60"/>
      <c r="T72" s="60"/>
      <c r="U72" s="61"/>
    </row>
    <row r="73" spans="2:21" ht="103.5" customHeight="1" x14ac:dyDescent="0.2">
      <c r="B73" s="59" t="s">
        <v>967</v>
      </c>
      <c r="C73" s="60"/>
      <c r="D73" s="60"/>
      <c r="E73" s="60"/>
      <c r="F73" s="60"/>
      <c r="G73" s="60"/>
      <c r="H73" s="60"/>
      <c r="I73" s="60"/>
      <c r="J73" s="60"/>
      <c r="K73" s="60"/>
      <c r="L73" s="60"/>
      <c r="M73" s="60"/>
      <c r="N73" s="60"/>
      <c r="O73" s="60"/>
      <c r="P73" s="60"/>
      <c r="Q73" s="60"/>
      <c r="R73" s="60"/>
      <c r="S73" s="60"/>
      <c r="T73" s="60"/>
      <c r="U73" s="61"/>
    </row>
    <row r="74" spans="2:21" ht="143.25" customHeight="1" x14ac:dyDescent="0.2">
      <c r="B74" s="59" t="s">
        <v>968</v>
      </c>
      <c r="C74" s="60"/>
      <c r="D74" s="60"/>
      <c r="E74" s="60"/>
      <c r="F74" s="60"/>
      <c r="G74" s="60"/>
      <c r="H74" s="60"/>
      <c r="I74" s="60"/>
      <c r="J74" s="60"/>
      <c r="K74" s="60"/>
      <c r="L74" s="60"/>
      <c r="M74" s="60"/>
      <c r="N74" s="60"/>
      <c r="O74" s="60"/>
      <c r="P74" s="60"/>
      <c r="Q74" s="60"/>
      <c r="R74" s="60"/>
      <c r="S74" s="60"/>
      <c r="T74" s="60"/>
      <c r="U74" s="61"/>
    </row>
    <row r="75" spans="2:21" ht="84" customHeight="1" x14ac:dyDescent="0.2">
      <c r="B75" s="59" t="s">
        <v>969</v>
      </c>
      <c r="C75" s="60"/>
      <c r="D75" s="60"/>
      <c r="E75" s="60"/>
      <c r="F75" s="60"/>
      <c r="G75" s="60"/>
      <c r="H75" s="60"/>
      <c r="I75" s="60"/>
      <c r="J75" s="60"/>
      <c r="K75" s="60"/>
      <c r="L75" s="60"/>
      <c r="M75" s="60"/>
      <c r="N75" s="60"/>
      <c r="O75" s="60"/>
      <c r="P75" s="60"/>
      <c r="Q75" s="60"/>
      <c r="R75" s="60"/>
      <c r="S75" s="60"/>
      <c r="T75" s="60"/>
      <c r="U75" s="61"/>
    </row>
    <row r="76" spans="2:21" ht="102.75" customHeight="1" x14ac:dyDescent="0.2">
      <c r="B76" s="59" t="s">
        <v>970</v>
      </c>
      <c r="C76" s="60"/>
      <c r="D76" s="60"/>
      <c r="E76" s="60"/>
      <c r="F76" s="60"/>
      <c r="G76" s="60"/>
      <c r="H76" s="60"/>
      <c r="I76" s="60"/>
      <c r="J76" s="60"/>
      <c r="K76" s="60"/>
      <c r="L76" s="60"/>
      <c r="M76" s="60"/>
      <c r="N76" s="60"/>
      <c r="O76" s="60"/>
      <c r="P76" s="60"/>
      <c r="Q76" s="60"/>
      <c r="R76" s="60"/>
      <c r="S76" s="60"/>
      <c r="T76" s="60"/>
      <c r="U76" s="61"/>
    </row>
    <row r="77" spans="2:21" ht="72.75" customHeight="1" x14ac:dyDescent="0.2">
      <c r="B77" s="59" t="s">
        <v>971</v>
      </c>
      <c r="C77" s="60"/>
      <c r="D77" s="60"/>
      <c r="E77" s="60"/>
      <c r="F77" s="60"/>
      <c r="G77" s="60"/>
      <c r="H77" s="60"/>
      <c r="I77" s="60"/>
      <c r="J77" s="60"/>
      <c r="K77" s="60"/>
      <c r="L77" s="60"/>
      <c r="M77" s="60"/>
      <c r="N77" s="60"/>
      <c r="O77" s="60"/>
      <c r="P77" s="60"/>
      <c r="Q77" s="60"/>
      <c r="R77" s="60"/>
      <c r="S77" s="60"/>
      <c r="T77" s="60"/>
      <c r="U77" s="61"/>
    </row>
    <row r="78" spans="2:21" ht="99" customHeight="1" x14ac:dyDescent="0.2">
      <c r="B78" s="59" t="s">
        <v>972</v>
      </c>
      <c r="C78" s="60"/>
      <c r="D78" s="60"/>
      <c r="E78" s="60"/>
      <c r="F78" s="60"/>
      <c r="G78" s="60"/>
      <c r="H78" s="60"/>
      <c r="I78" s="60"/>
      <c r="J78" s="60"/>
      <c r="K78" s="60"/>
      <c r="L78" s="60"/>
      <c r="M78" s="60"/>
      <c r="N78" s="60"/>
      <c r="O78" s="60"/>
      <c r="P78" s="60"/>
      <c r="Q78" s="60"/>
      <c r="R78" s="60"/>
      <c r="S78" s="60"/>
      <c r="T78" s="60"/>
      <c r="U78" s="61"/>
    </row>
    <row r="79" spans="2:21" ht="72.75" customHeight="1" x14ac:dyDescent="0.2">
      <c r="B79" s="59" t="s">
        <v>973</v>
      </c>
      <c r="C79" s="60"/>
      <c r="D79" s="60"/>
      <c r="E79" s="60"/>
      <c r="F79" s="60"/>
      <c r="G79" s="60"/>
      <c r="H79" s="60"/>
      <c r="I79" s="60"/>
      <c r="J79" s="60"/>
      <c r="K79" s="60"/>
      <c r="L79" s="60"/>
      <c r="M79" s="60"/>
      <c r="N79" s="60"/>
      <c r="O79" s="60"/>
      <c r="P79" s="60"/>
      <c r="Q79" s="60"/>
      <c r="R79" s="60"/>
      <c r="S79" s="60"/>
      <c r="T79" s="60"/>
      <c r="U79" s="61"/>
    </row>
    <row r="80" spans="2:21" ht="72.75" customHeight="1" x14ac:dyDescent="0.2">
      <c r="B80" s="59" t="s">
        <v>974</v>
      </c>
      <c r="C80" s="60"/>
      <c r="D80" s="60"/>
      <c r="E80" s="60"/>
      <c r="F80" s="60"/>
      <c r="G80" s="60"/>
      <c r="H80" s="60"/>
      <c r="I80" s="60"/>
      <c r="J80" s="60"/>
      <c r="K80" s="60"/>
      <c r="L80" s="60"/>
      <c r="M80" s="60"/>
      <c r="N80" s="60"/>
      <c r="O80" s="60"/>
      <c r="P80" s="60"/>
      <c r="Q80" s="60"/>
      <c r="R80" s="60"/>
      <c r="S80" s="60"/>
      <c r="T80" s="60"/>
      <c r="U80" s="61"/>
    </row>
    <row r="81" spans="2:21" ht="72.75" customHeight="1" x14ac:dyDescent="0.2">
      <c r="B81" s="59" t="s">
        <v>975</v>
      </c>
      <c r="C81" s="60"/>
      <c r="D81" s="60"/>
      <c r="E81" s="60"/>
      <c r="F81" s="60"/>
      <c r="G81" s="60"/>
      <c r="H81" s="60"/>
      <c r="I81" s="60"/>
      <c r="J81" s="60"/>
      <c r="K81" s="60"/>
      <c r="L81" s="60"/>
      <c r="M81" s="60"/>
      <c r="N81" s="60"/>
      <c r="O81" s="60"/>
      <c r="P81" s="60"/>
      <c r="Q81" s="60"/>
      <c r="R81" s="60"/>
      <c r="S81" s="60"/>
      <c r="T81" s="60"/>
      <c r="U81" s="61"/>
    </row>
    <row r="82" spans="2:21" ht="105" customHeight="1" x14ac:dyDescent="0.2">
      <c r="B82" s="59" t="s">
        <v>976</v>
      </c>
      <c r="C82" s="60"/>
      <c r="D82" s="60"/>
      <c r="E82" s="60"/>
      <c r="F82" s="60"/>
      <c r="G82" s="60"/>
      <c r="H82" s="60"/>
      <c r="I82" s="60"/>
      <c r="J82" s="60"/>
      <c r="K82" s="60"/>
      <c r="L82" s="60"/>
      <c r="M82" s="60"/>
      <c r="N82" s="60"/>
      <c r="O82" s="60"/>
      <c r="P82" s="60"/>
      <c r="Q82" s="60"/>
      <c r="R82" s="60"/>
      <c r="S82" s="60"/>
      <c r="T82" s="60"/>
      <c r="U82" s="61"/>
    </row>
    <row r="83" spans="2:21" ht="72.75" customHeight="1" x14ac:dyDescent="0.2">
      <c r="B83" s="59" t="s">
        <v>977</v>
      </c>
      <c r="C83" s="60"/>
      <c r="D83" s="60"/>
      <c r="E83" s="60"/>
      <c r="F83" s="60"/>
      <c r="G83" s="60"/>
      <c r="H83" s="60"/>
      <c r="I83" s="60"/>
      <c r="J83" s="60"/>
      <c r="K83" s="60"/>
      <c r="L83" s="60"/>
      <c r="M83" s="60"/>
      <c r="N83" s="60"/>
      <c r="O83" s="60"/>
      <c r="P83" s="60"/>
      <c r="Q83" s="60"/>
      <c r="R83" s="60"/>
      <c r="S83" s="60"/>
      <c r="T83" s="60"/>
      <c r="U83" s="61"/>
    </row>
    <row r="84" spans="2:21" ht="72.75" customHeight="1" x14ac:dyDescent="0.2">
      <c r="B84" s="59" t="s">
        <v>978</v>
      </c>
      <c r="C84" s="60"/>
      <c r="D84" s="60"/>
      <c r="E84" s="60"/>
      <c r="F84" s="60"/>
      <c r="G84" s="60"/>
      <c r="H84" s="60"/>
      <c r="I84" s="60"/>
      <c r="J84" s="60"/>
      <c r="K84" s="60"/>
      <c r="L84" s="60"/>
      <c r="M84" s="60"/>
      <c r="N84" s="60"/>
      <c r="O84" s="60"/>
      <c r="P84" s="60"/>
      <c r="Q84" s="60"/>
      <c r="R84" s="60"/>
      <c r="S84" s="60"/>
      <c r="T84" s="60"/>
      <c r="U84" s="61"/>
    </row>
    <row r="85" spans="2:21" ht="72.75" customHeight="1" x14ac:dyDescent="0.2">
      <c r="B85" s="59" t="s">
        <v>979</v>
      </c>
      <c r="C85" s="60"/>
      <c r="D85" s="60"/>
      <c r="E85" s="60"/>
      <c r="F85" s="60"/>
      <c r="G85" s="60"/>
      <c r="H85" s="60"/>
      <c r="I85" s="60"/>
      <c r="J85" s="60"/>
      <c r="K85" s="60"/>
      <c r="L85" s="60"/>
      <c r="M85" s="60"/>
      <c r="N85" s="60"/>
      <c r="O85" s="60"/>
      <c r="P85" s="60"/>
      <c r="Q85" s="60"/>
      <c r="R85" s="60"/>
      <c r="S85" s="60"/>
      <c r="T85" s="60"/>
      <c r="U85" s="61"/>
    </row>
    <row r="86" spans="2:21" ht="72.75" customHeight="1" x14ac:dyDescent="0.2">
      <c r="B86" s="59" t="s">
        <v>980</v>
      </c>
      <c r="C86" s="60"/>
      <c r="D86" s="60"/>
      <c r="E86" s="60"/>
      <c r="F86" s="60"/>
      <c r="G86" s="60"/>
      <c r="H86" s="60"/>
      <c r="I86" s="60"/>
      <c r="J86" s="60"/>
      <c r="K86" s="60"/>
      <c r="L86" s="60"/>
      <c r="M86" s="60"/>
      <c r="N86" s="60"/>
      <c r="O86" s="60"/>
      <c r="P86" s="60"/>
      <c r="Q86" s="60"/>
      <c r="R86" s="60"/>
      <c r="S86" s="60"/>
      <c r="T86" s="60"/>
      <c r="U86" s="61"/>
    </row>
    <row r="87" spans="2:21" ht="72.75" customHeight="1" x14ac:dyDescent="0.2">
      <c r="B87" s="59" t="s">
        <v>981</v>
      </c>
      <c r="C87" s="60"/>
      <c r="D87" s="60"/>
      <c r="E87" s="60"/>
      <c r="F87" s="60"/>
      <c r="G87" s="60"/>
      <c r="H87" s="60"/>
      <c r="I87" s="60"/>
      <c r="J87" s="60"/>
      <c r="K87" s="60"/>
      <c r="L87" s="60"/>
      <c r="M87" s="60"/>
      <c r="N87" s="60"/>
      <c r="O87" s="60"/>
      <c r="P87" s="60"/>
      <c r="Q87" s="60"/>
      <c r="R87" s="60"/>
      <c r="S87" s="60"/>
      <c r="T87" s="60"/>
      <c r="U87" s="61"/>
    </row>
    <row r="88" spans="2:21" ht="72.75" customHeight="1" x14ac:dyDescent="0.2">
      <c r="B88" s="59" t="s">
        <v>982</v>
      </c>
      <c r="C88" s="60"/>
      <c r="D88" s="60"/>
      <c r="E88" s="60"/>
      <c r="F88" s="60"/>
      <c r="G88" s="60"/>
      <c r="H88" s="60"/>
      <c r="I88" s="60"/>
      <c r="J88" s="60"/>
      <c r="K88" s="60"/>
      <c r="L88" s="60"/>
      <c r="M88" s="60"/>
      <c r="N88" s="60"/>
      <c r="O88" s="60"/>
      <c r="P88" s="60"/>
      <c r="Q88" s="60"/>
      <c r="R88" s="60"/>
      <c r="S88" s="60"/>
      <c r="T88" s="60"/>
      <c r="U88" s="61"/>
    </row>
    <row r="89" spans="2:21" ht="72.75" customHeight="1" x14ac:dyDescent="0.2">
      <c r="B89" s="59" t="s">
        <v>983</v>
      </c>
      <c r="C89" s="60"/>
      <c r="D89" s="60"/>
      <c r="E89" s="60"/>
      <c r="F89" s="60"/>
      <c r="G89" s="60"/>
      <c r="H89" s="60"/>
      <c r="I89" s="60"/>
      <c r="J89" s="60"/>
      <c r="K89" s="60"/>
      <c r="L89" s="60"/>
      <c r="M89" s="60"/>
      <c r="N89" s="60"/>
      <c r="O89" s="60"/>
      <c r="P89" s="60"/>
      <c r="Q89" s="60"/>
      <c r="R89" s="60"/>
      <c r="S89" s="60"/>
      <c r="T89" s="60"/>
      <c r="U89" s="61"/>
    </row>
    <row r="90" spans="2:21" ht="72.75" customHeight="1" x14ac:dyDescent="0.2">
      <c r="B90" s="59" t="s">
        <v>984</v>
      </c>
      <c r="C90" s="60"/>
      <c r="D90" s="60"/>
      <c r="E90" s="60"/>
      <c r="F90" s="60"/>
      <c r="G90" s="60"/>
      <c r="H90" s="60"/>
      <c r="I90" s="60"/>
      <c r="J90" s="60"/>
      <c r="K90" s="60"/>
      <c r="L90" s="60"/>
      <c r="M90" s="60"/>
      <c r="N90" s="60"/>
      <c r="O90" s="60"/>
      <c r="P90" s="60"/>
      <c r="Q90" s="60"/>
      <c r="R90" s="60"/>
      <c r="S90" s="60"/>
      <c r="T90" s="60"/>
      <c r="U90" s="61"/>
    </row>
    <row r="91" spans="2:21" ht="72.75" customHeight="1" x14ac:dyDescent="0.2">
      <c r="B91" s="59" t="s">
        <v>985</v>
      </c>
      <c r="C91" s="60"/>
      <c r="D91" s="60"/>
      <c r="E91" s="60"/>
      <c r="F91" s="60"/>
      <c r="G91" s="60"/>
      <c r="H91" s="60"/>
      <c r="I91" s="60"/>
      <c r="J91" s="60"/>
      <c r="K91" s="60"/>
      <c r="L91" s="60"/>
      <c r="M91" s="60"/>
      <c r="N91" s="60"/>
      <c r="O91" s="60"/>
      <c r="P91" s="60"/>
      <c r="Q91" s="60"/>
      <c r="R91" s="60"/>
      <c r="S91" s="60"/>
      <c r="T91" s="60"/>
      <c r="U91" s="61"/>
    </row>
    <row r="92" spans="2:21" ht="126" customHeight="1" x14ac:dyDescent="0.2">
      <c r="B92" s="59" t="s">
        <v>986</v>
      </c>
      <c r="C92" s="60"/>
      <c r="D92" s="60"/>
      <c r="E92" s="60"/>
      <c r="F92" s="60"/>
      <c r="G92" s="60"/>
      <c r="H92" s="60"/>
      <c r="I92" s="60"/>
      <c r="J92" s="60"/>
      <c r="K92" s="60"/>
      <c r="L92" s="60"/>
      <c r="M92" s="60"/>
      <c r="N92" s="60"/>
      <c r="O92" s="60"/>
      <c r="P92" s="60"/>
      <c r="Q92" s="60"/>
      <c r="R92" s="60"/>
      <c r="S92" s="60"/>
      <c r="T92" s="60"/>
      <c r="U92" s="61"/>
    </row>
    <row r="93" spans="2:21" ht="94.5" customHeight="1" x14ac:dyDescent="0.2">
      <c r="B93" s="59" t="s">
        <v>987</v>
      </c>
      <c r="C93" s="60"/>
      <c r="D93" s="60"/>
      <c r="E93" s="60"/>
      <c r="F93" s="60"/>
      <c r="G93" s="60"/>
      <c r="H93" s="60"/>
      <c r="I93" s="60"/>
      <c r="J93" s="60"/>
      <c r="K93" s="60"/>
      <c r="L93" s="60"/>
      <c r="M93" s="60"/>
      <c r="N93" s="60"/>
      <c r="O93" s="60"/>
      <c r="P93" s="60"/>
      <c r="Q93" s="60"/>
      <c r="R93" s="60"/>
      <c r="S93" s="60"/>
      <c r="T93" s="60"/>
      <c r="U93" s="61"/>
    </row>
    <row r="94" spans="2:21" ht="72.75" customHeight="1" x14ac:dyDescent="0.2">
      <c r="B94" s="59" t="s">
        <v>988</v>
      </c>
      <c r="C94" s="60"/>
      <c r="D94" s="60"/>
      <c r="E94" s="60"/>
      <c r="F94" s="60"/>
      <c r="G94" s="60"/>
      <c r="H94" s="60"/>
      <c r="I94" s="60"/>
      <c r="J94" s="60"/>
      <c r="K94" s="60"/>
      <c r="L94" s="60"/>
      <c r="M94" s="60"/>
      <c r="N94" s="60"/>
      <c r="O94" s="60"/>
      <c r="P94" s="60"/>
      <c r="Q94" s="60"/>
      <c r="R94" s="60"/>
      <c r="S94" s="60"/>
      <c r="T94" s="60"/>
      <c r="U94" s="61"/>
    </row>
    <row r="95" spans="2:21" ht="105" customHeight="1" x14ac:dyDescent="0.2">
      <c r="B95" s="59" t="s">
        <v>989</v>
      </c>
      <c r="C95" s="60"/>
      <c r="D95" s="60"/>
      <c r="E95" s="60"/>
      <c r="F95" s="60"/>
      <c r="G95" s="60"/>
      <c r="H95" s="60"/>
      <c r="I95" s="60"/>
      <c r="J95" s="60"/>
      <c r="K95" s="60"/>
      <c r="L95" s="60"/>
      <c r="M95" s="60"/>
      <c r="N95" s="60"/>
      <c r="O95" s="60"/>
      <c r="P95" s="60"/>
      <c r="Q95" s="60"/>
      <c r="R95" s="60"/>
      <c r="S95" s="60"/>
      <c r="T95" s="60"/>
      <c r="U95" s="61"/>
    </row>
    <row r="96" spans="2:21" ht="85.5" customHeight="1" x14ac:dyDescent="0.2">
      <c r="B96" s="59" t="s">
        <v>990</v>
      </c>
      <c r="C96" s="60"/>
      <c r="D96" s="60"/>
      <c r="E96" s="60"/>
      <c r="F96" s="60"/>
      <c r="G96" s="60"/>
      <c r="H96" s="60"/>
      <c r="I96" s="60"/>
      <c r="J96" s="60"/>
      <c r="K96" s="60"/>
      <c r="L96" s="60"/>
      <c r="M96" s="60"/>
      <c r="N96" s="60"/>
      <c r="O96" s="60"/>
      <c r="P96" s="60"/>
      <c r="Q96" s="60"/>
      <c r="R96" s="60"/>
      <c r="S96" s="60"/>
      <c r="T96" s="60"/>
      <c r="U96" s="61"/>
    </row>
    <row r="97" spans="2:21" ht="101.25" customHeight="1" x14ac:dyDescent="0.2">
      <c r="B97" s="59" t="s">
        <v>991</v>
      </c>
      <c r="C97" s="60"/>
      <c r="D97" s="60"/>
      <c r="E97" s="60"/>
      <c r="F97" s="60"/>
      <c r="G97" s="60"/>
      <c r="H97" s="60"/>
      <c r="I97" s="60"/>
      <c r="J97" s="60"/>
      <c r="K97" s="60"/>
      <c r="L97" s="60"/>
      <c r="M97" s="60"/>
      <c r="N97" s="60"/>
      <c r="O97" s="60"/>
      <c r="P97" s="60"/>
      <c r="Q97" s="60"/>
      <c r="R97" s="60"/>
      <c r="S97" s="60"/>
      <c r="T97" s="60"/>
      <c r="U97" s="61"/>
    </row>
    <row r="98" spans="2:21" ht="72.75" customHeight="1" x14ac:dyDescent="0.2">
      <c r="B98" s="59" t="s">
        <v>992</v>
      </c>
      <c r="C98" s="60"/>
      <c r="D98" s="60"/>
      <c r="E98" s="60"/>
      <c r="F98" s="60"/>
      <c r="G98" s="60"/>
      <c r="H98" s="60"/>
      <c r="I98" s="60"/>
      <c r="J98" s="60"/>
      <c r="K98" s="60"/>
      <c r="L98" s="60"/>
      <c r="M98" s="60"/>
      <c r="N98" s="60"/>
      <c r="O98" s="60"/>
      <c r="P98" s="60"/>
      <c r="Q98" s="60"/>
      <c r="R98" s="60"/>
      <c r="S98" s="60"/>
      <c r="T98" s="60"/>
      <c r="U98" s="61"/>
    </row>
    <row r="99" spans="2:21" ht="99.75" customHeight="1" x14ac:dyDescent="0.2">
      <c r="B99" s="59" t="s">
        <v>993</v>
      </c>
      <c r="C99" s="60"/>
      <c r="D99" s="60"/>
      <c r="E99" s="60"/>
      <c r="F99" s="60"/>
      <c r="G99" s="60"/>
      <c r="H99" s="60"/>
      <c r="I99" s="60"/>
      <c r="J99" s="60"/>
      <c r="K99" s="60"/>
      <c r="L99" s="60"/>
      <c r="M99" s="60"/>
      <c r="N99" s="60"/>
      <c r="O99" s="60"/>
      <c r="P99" s="60"/>
      <c r="Q99" s="60"/>
      <c r="R99" s="60"/>
      <c r="S99" s="60"/>
      <c r="T99" s="60"/>
      <c r="U99" s="61"/>
    </row>
    <row r="100" spans="2:21" ht="72.75" customHeight="1" x14ac:dyDescent="0.2">
      <c r="B100" s="59" t="s">
        <v>994</v>
      </c>
      <c r="C100" s="60"/>
      <c r="D100" s="60"/>
      <c r="E100" s="60"/>
      <c r="F100" s="60"/>
      <c r="G100" s="60"/>
      <c r="H100" s="60"/>
      <c r="I100" s="60"/>
      <c r="J100" s="60"/>
      <c r="K100" s="60"/>
      <c r="L100" s="60"/>
      <c r="M100" s="60"/>
      <c r="N100" s="60"/>
      <c r="O100" s="60"/>
      <c r="P100" s="60"/>
      <c r="Q100" s="60"/>
      <c r="R100" s="60"/>
      <c r="S100" s="60"/>
      <c r="T100" s="60"/>
      <c r="U100" s="61"/>
    </row>
    <row r="101" spans="2:21" ht="72.75" customHeight="1" x14ac:dyDescent="0.2">
      <c r="B101" s="59" t="s">
        <v>995</v>
      </c>
      <c r="C101" s="60"/>
      <c r="D101" s="60"/>
      <c r="E101" s="60"/>
      <c r="F101" s="60"/>
      <c r="G101" s="60"/>
      <c r="H101" s="60"/>
      <c r="I101" s="60"/>
      <c r="J101" s="60"/>
      <c r="K101" s="60"/>
      <c r="L101" s="60"/>
      <c r="M101" s="60"/>
      <c r="N101" s="60"/>
      <c r="O101" s="60"/>
      <c r="P101" s="60"/>
      <c r="Q101" s="60"/>
      <c r="R101" s="60"/>
      <c r="S101" s="60"/>
      <c r="T101" s="60"/>
      <c r="U101" s="61"/>
    </row>
    <row r="102" spans="2:21" ht="98.25" customHeight="1" x14ac:dyDescent="0.2">
      <c r="B102" s="59" t="s">
        <v>996</v>
      </c>
      <c r="C102" s="60"/>
      <c r="D102" s="60"/>
      <c r="E102" s="60"/>
      <c r="F102" s="60"/>
      <c r="G102" s="60"/>
      <c r="H102" s="60"/>
      <c r="I102" s="60"/>
      <c r="J102" s="60"/>
      <c r="K102" s="60"/>
      <c r="L102" s="60"/>
      <c r="M102" s="60"/>
      <c r="N102" s="60"/>
      <c r="O102" s="60"/>
      <c r="P102" s="60"/>
      <c r="Q102" s="60"/>
      <c r="R102" s="60"/>
      <c r="S102" s="60"/>
      <c r="T102" s="60"/>
      <c r="U102" s="61"/>
    </row>
    <row r="103" spans="2:21" ht="72.75" customHeight="1" x14ac:dyDescent="0.2">
      <c r="B103" s="59" t="s">
        <v>997</v>
      </c>
      <c r="C103" s="60"/>
      <c r="D103" s="60"/>
      <c r="E103" s="60"/>
      <c r="F103" s="60"/>
      <c r="G103" s="60"/>
      <c r="H103" s="60"/>
      <c r="I103" s="60"/>
      <c r="J103" s="60"/>
      <c r="K103" s="60"/>
      <c r="L103" s="60"/>
      <c r="M103" s="60"/>
      <c r="N103" s="60"/>
      <c r="O103" s="60"/>
      <c r="P103" s="60"/>
      <c r="Q103" s="60"/>
      <c r="R103" s="60"/>
      <c r="S103" s="60"/>
      <c r="T103" s="60"/>
      <c r="U103" s="61"/>
    </row>
    <row r="104" spans="2:21" ht="72.75" customHeight="1" x14ac:dyDescent="0.2">
      <c r="B104" s="59" t="s">
        <v>998</v>
      </c>
      <c r="C104" s="60"/>
      <c r="D104" s="60"/>
      <c r="E104" s="60"/>
      <c r="F104" s="60"/>
      <c r="G104" s="60"/>
      <c r="H104" s="60"/>
      <c r="I104" s="60"/>
      <c r="J104" s="60"/>
      <c r="K104" s="60"/>
      <c r="L104" s="60"/>
      <c r="M104" s="60"/>
      <c r="N104" s="60"/>
      <c r="O104" s="60"/>
      <c r="P104" s="60"/>
      <c r="Q104" s="60"/>
      <c r="R104" s="60"/>
      <c r="S104" s="60"/>
      <c r="T104" s="60"/>
      <c r="U104" s="61"/>
    </row>
    <row r="105" spans="2:21" ht="72.75" customHeight="1" x14ac:dyDescent="0.2">
      <c r="B105" s="59" t="s">
        <v>999</v>
      </c>
      <c r="C105" s="60"/>
      <c r="D105" s="60"/>
      <c r="E105" s="60"/>
      <c r="F105" s="60"/>
      <c r="G105" s="60"/>
      <c r="H105" s="60"/>
      <c r="I105" s="60"/>
      <c r="J105" s="60"/>
      <c r="K105" s="60"/>
      <c r="L105" s="60"/>
      <c r="M105" s="60"/>
      <c r="N105" s="60"/>
      <c r="O105" s="60"/>
      <c r="P105" s="60"/>
      <c r="Q105" s="60"/>
      <c r="R105" s="60"/>
      <c r="S105" s="60"/>
      <c r="T105" s="60"/>
      <c r="U105" s="61"/>
    </row>
    <row r="106" spans="2:21" ht="72.75" customHeight="1" x14ac:dyDescent="0.2">
      <c r="B106" s="59" t="s">
        <v>1000</v>
      </c>
      <c r="C106" s="60"/>
      <c r="D106" s="60"/>
      <c r="E106" s="60"/>
      <c r="F106" s="60"/>
      <c r="G106" s="60"/>
      <c r="H106" s="60"/>
      <c r="I106" s="60"/>
      <c r="J106" s="60"/>
      <c r="K106" s="60"/>
      <c r="L106" s="60"/>
      <c r="M106" s="60"/>
      <c r="N106" s="60"/>
      <c r="O106" s="60"/>
      <c r="P106" s="60"/>
      <c r="Q106" s="60"/>
      <c r="R106" s="60"/>
      <c r="S106" s="60"/>
      <c r="T106" s="60"/>
      <c r="U106" s="61"/>
    </row>
    <row r="107" spans="2:21" ht="98.25" customHeight="1" x14ac:dyDescent="0.2">
      <c r="B107" s="59" t="s">
        <v>1001</v>
      </c>
      <c r="C107" s="60"/>
      <c r="D107" s="60"/>
      <c r="E107" s="60"/>
      <c r="F107" s="60"/>
      <c r="G107" s="60"/>
      <c r="H107" s="60"/>
      <c r="I107" s="60"/>
      <c r="J107" s="60"/>
      <c r="K107" s="60"/>
      <c r="L107" s="60"/>
      <c r="M107" s="60"/>
      <c r="N107" s="60"/>
      <c r="O107" s="60"/>
      <c r="P107" s="60"/>
      <c r="Q107" s="60"/>
      <c r="R107" s="60"/>
      <c r="S107" s="60"/>
      <c r="T107" s="60"/>
      <c r="U107" s="61"/>
    </row>
    <row r="108" spans="2:21" ht="96" customHeight="1" x14ac:dyDescent="0.2">
      <c r="B108" s="59" t="s">
        <v>1002</v>
      </c>
      <c r="C108" s="60"/>
      <c r="D108" s="60"/>
      <c r="E108" s="60"/>
      <c r="F108" s="60"/>
      <c r="G108" s="60"/>
      <c r="H108" s="60"/>
      <c r="I108" s="60"/>
      <c r="J108" s="60"/>
      <c r="K108" s="60"/>
      <c r="L108" s="60"/>
      <c r="M108" s="60"/>
      <c r="N108" s="60"/>
      <c r="O108" s="60"/>
      <c r="P108" s="60"/>
      <c r="Q108" s="60"/>
      <c r="R108" s="60"/>
      <c r="S108" s="60"/>
      <c r="T108" s="60"/>
      <c r="U108" s="61"/>
    </row>
    <row r="109" spans="2:21" ht="118.5" customHeight="1" x14ac:dyDescent="0.2">
      <c r="B109" s="59" t="s">
        <v>1003</v>
      </c>
      <c r="C109" s="60"/>
      <c r="D109" s="60"/>
      <c r="E109" s="60"/>
      <c r="F109" s="60"/>
      <c r="G109" s="60"/>
      <c r="H109" s="60"/>
      <c r="I109" s="60"/>
      <c r="J109" s="60"/>
      <c r="K109" s="60"/>
      <c r="L109" s="60"/>
      <c r="M109" s="60"/>
      <c r="N109" s="60"/>
      <c r="O109" s="60"/>
      <c r="P109" s="60"/>
      <c r="Q109" s="60"/>
      <c r="R109" s="60"/>
      <c r="S109" s="60"/>
      <c r="T109" s="60"/>
      <c r="U109" s="61"/>
    </row>
    <row r="110" spans="2:21" ht="72.75" customHeight="1" x14ac:dyDescent="0.2">
      <c r="B110" s="59" t="s">
        <v>1004</v>
      </c>
      <c r="C110" s="60"/>
      <c r="D110" s="60"/>
      <c r="E110" s="60"/>
      <c r="F110" s="60"/>
      <c r="G110" s="60"/>
      <c r="H110" s="60"/>
      <c r="I110" s="60"/>
      <c r="J110" s="60"/>
      <c r="K110" s="60"/>
      <c r="L110" s="60"/>
      <c r="M110" s="60"/>
      <c r="N110" s="60"/>
      <c r="O110" s="60"/>
      <c r="P110" s="60"/>
      <c r="Q110" s="60"/>
      <c r="R110" s="60"/>
      <c r="S110" s="60"/>
      <c r="T110" s="60"/>
      <c r="U110" s="61"/>
    </row>
    <row r="111" spans="2:21" ht="72.75" customHeight="1" thickBot="1" x14ac:dyDescent="0.25">
      <c r="B111" s="62" t="s">
        <v>1005</v>
      </c>
      <c r="C111" s="63"/>
      <c r="D111" s="63"/>
      <c r="E111" s="63"/>
      <c r="F111" s="63"/>
      <c r="G111" s="63"/>
      <c r="H111" s="63"/>
      <c r="I111" s="63"/>
      <c r="J111" s="63"/>
      <c r="K111" s="63"/>
      <c r="L111" s="63"/>
      <c r="M111" s="63"/>
      <c r="N111" s="63"/>
      <c r="O111" s="63"/>
      <c r="P111" s="63"/>
      <c r="Q111" s="63"/>
      <c r="R111" s="63"/>
      <c r="S111" s="63"/>
      <c r="T111" s="63"/>
      <c r="U111" s="64"/>
    </row>
  </sheetData>
  <mergeCells count="212">
    <mergeCell ref="B8:B10"/>
    <mergeCell ref="C8:H10"/>
    <mergeCell ref="I8:S8"/>
    <mergeCell ref="T8:U8"/>
    <mergeCell ref="I9:K10"/>
    <mergeCell ref="L9:O10"/>
    <mergeCell ref="B1:L1"/>
    <mergeCell ref="D4:H4"/>
    <mergeCell ref="L4:O4"/>
    <mergeCell ref="Q4:R4"/>
    <mergeCell ref="T4:U4"/>
    <mergeCell ref="B5:U5"/>
    <mergeCell ref="T9:T10"/>
    <mergeCell ref="U9:U10"/>
    <mergeCell ref="C6:G6"/>
    <mergeCell ref="K6:M6"/>
    <mergeCell ref="P6:Q6"/>
    <mergeCell ref="T6:U6"/>
    <mergeCell ref="C13:H13"/>
    <mergeCell ref="I13:K13"/>
    <mergeCell ref="L13:O13"/>
    <mergeCell ref="P9:P10"/>
    <mergeCell ref="Q9:Q10"/>
    <mergeCell ref="R9:S9"/>
    <mergeCell ref="C16:H16"/>
    <mergeCell ref="I16:K16"/>
    <mergeCell ref="L16:O16"/>
    <mergeCell ref="C11:H11"/>
    <mergeCell ref="I11:K11"/>
    <mergeCell ref="L11:O11"/>
    <mergeCell ref="C12:H12"/>
    <mergeCell ref="I12:K12"/>
    <mergeCell ref="L12:O12"/>
    <mergeCell ref="C17:H17"/>
    <mergeCell ref="I17:K17"/>
    <mergeCell ref="L17:O17"/>
    <mergeCell ref="C14:H14"/>
    <mergeCell ref="I14:K14"/>
    <mergeCell ref="L14:O14"/>
    <mergeCell ref="C15:H15"/>
    <mergeCell ref="I15:K15"/>
    <mergeCell ref="L15:O15"/>
    <mergeCell ref="C20:H20"/>
    <mergeCell ref="I20:K20"/>
    <mergeCell ref="L20:O20"/>
    <mergeCell ref="C21:H21"/>
    <mergeCell ref="I21:K21"/>
    <mergeCell ref="L21:O21"/>
    <mergeCell ref="C18:H18"/>
    <mergeCell ref="I18:K18"/>
    <mergeCell ref="L18:O18"/>
    <mergeCell ref="C19:H19"/>
    <mergeCell ref="I19:K19"/>
    <mergeCell ref="L19:O19"/>
    <mergeCell ref="C24:H24"/>
    <mergeCell ref="I24:K24"/>
    <mergeCell ref="L24:O24"/>
    <mergeCell ref="C25:H25"/>
    <mergeCell ref="I25:K25"/>
    <mergeCell ref="L25:O25"/>
    <mergeCell ref="C22:H22"/>
    <mergeCell ref="I22:K22"/>
    <mergeCell ref="L22:O22"/>
    <mergeCell ref="C23:H23"/>
    <mergeCell ref="I23:K23"/>
    <mergeCell ref="L23:O23"/>
    <mergeCell ref="C28:H28"/>
    <mergeCell ref="I28:K28"/>
    <mergeCell ref="L28:O28"/>
    <mergeCell ref="C29:H29"/>
    <mergeCell ref="I29:K29"/>
    <mergeCell ref="L29:O29"/>
    <mergeCell ref="C26:H26"/>
    <mergeCell ref="I26:K26"/>
    <mergeCell ref="L26:O26"/>
    <mergeCell ref="C27:H27"/>
    <mergeCell ref="I27:K27"/>
    <mergeCell ref="L27:O27"/>
    <mergeCell ref="C32:H32"/>
    <mergeCell ref="I32:K32"/>
    <mergeCell ref="L32:O32"/>
    <mergeCell ref="C33:H33"/>
    <mergeCell ref="I33:K33"/>
    <mergeCell ref="L33:O33"/>
    <mergeCell ref="C30:H30"/>
    <mergeCell ref="I30:K30"/>
    <mergeCell ref="L30:O30"/>
    <mergeCell ref="C31:H31"/>
    <mergeCell ref="I31:K31"/>
    <mergeCell ref="L31:O31"/>
    <mergeCell ref="C36:H36"/>
    <mergeCell ref="I36:K36"/>
    <mergeCell ref="L36:O36"/>
    <mergeCell ref="C37:H37"/>
    <mergeCell ref="I37:K37"/>
    <mergeCell ref="L37:O37"/>
    <mergeCell ref="C34:H34"/>
    <mergeCell ref="I34:K34"/>
    <mergeCell ref="L34:O34"/>
    <mergeCell ref="C35:H35"/>
    <mergeCell ref="I35:K35"/>
    <mergeCell ref="L35:O35"/>
    <mergeCell ref="C40:H40"/>
    <mergeCell ref="I40:K40"/>
    <mergeCell ref="L40:O40"/>
    <mergeCell ref="C41:H41"/>
    <mergeCell ref="I41:K41"/>
    <mergeCell ref="L41:O41"/>
    <mergeCell ref="C38:H38"/>
    <mergeCell ref="I38:K38"/>
    <mergeCell ref="L38:O38"/>
    <mergeCell ref="C39:H39"/>
    <mergeCell ref="I39:K39"/>
    <mergeCell ref="L39:O39"/>
    <mergeCell ref="C44:H44"/>
    <mergeCell ref="I44:K44"/>
    <mergeCell ref="L44:O44"/>
    <mergeCell ref="C45:H45"/>
    <mergeCell ref="I45:K45"/>
    <mergeCell ref="L45:O45"/>
    <mergeCell ref="C42:H42"/>
    <mergeCell ref="I42:K42"/>
    <mergeCell ref="L42:O42"/>
    <mergeCell ref="C43:H43"/>
    <mergeCell ref="I43:K43"/>
    <mergeCell ref="L43:O43"/>
    <mergeCell ref="C48:H48"/>
    <mergeCell ref="I48:K48"/>
    <mergeCell ref="L48:O48"/>
    <mergeCell ref="C49:H49"/>
    <mergeCell ref="I49:K49"/>
    <mergeCell ref="L49:O49"/>
    <mergeCell ref="C46:H46"/>
    <mergeCell ref="I46:K46"/>
    <mergeCell ref="L46:O46"/>
    <mergeCell ref="C47:H47"/>
    <mergeCell ref="I47:K47"/>
    <mergeCell ref="L47:O47"/>
    <mergeCell ref="C52:H52"/>
    <mergeCell ref="I52:K52"/>
    <mergeCell ref="L52:O52"/>
    <mergeCell ref="C53:H53"/>
    <mergeCell ref="I53:K53"/>
    <mergeCell ref="L53:O53"/>
    <mergeCell ref="C50:H50"/>
    <mergeCell ref="I50:K50"/>
    <mergeCell ref="L50:O50"/>
    <mergeCell ref="C51:H51"/>
    <mergeCell ref="I51:K51"/>
    <mergeCell ref="L51:O51"/>
    <mergeCell ref="C56:H56"/>
    <mergeCell ref="I56:K56"/>
    <mergeCell ref="L56:O56"/>
    <mergeCell ref="C57:H57"/>
    <mergeCell ref="I57:K57"/>
    <mergeCell ref="L57:O57"/>
    <mergeCell ref="C54:H54"/>
    <mergeCell ref="I54:K54"/>
    <mergeCell ref="L54:O54"/>
    <mergeCell ref="C55:H55"/>
    <mergeCell ref="I55:K55"/>
    <mergeCell ref="L55:O55"/>
    <mergeCell ref="B68:U68"/>
    <mergeCell ref="B69:U69"/>
    <mergeCell ref="B70:U70"/>
    <mergeCell ref="B71:U71"/>
    <mergeCell ref="B72:U72"/>
    <mergeCell ref="B73:U73"/>
    <mergeCell ref="B61:D61"/>
    <mergeCell ref="B62:D62"/>
    <mergeCell ref="B64:U64"/>
    <mergeCell ref="B65:U65"/>
    <mergeCell ref="B66:U66"/>
    <mergeCell ref="B67:U67"/>
    <mergeCell ref="B80:U80"/>
    <mergeCell ref="B81:U81"/>
    <mergeCell ref="B82:U82"/>
    <mergeCell ref="B83:U83"/>
    <mergeCell ref="B84:U84"/>
    <mergeCell ref="B85:U85"/>
    <mergeCell ref="B74:U74"/>
    <mergeCell ref="B75:U75"/>
    <mergeCell ref="B76:U76"/>
    <mergeCell ref="B77:U77"/>
    <mergeCell ref="B78:U78"/>
    <mergeCell ref="B79:U79"/>
    <mergeCell ref="B92:U92"/>
    <mergeCell ref="B93:U93"/>
    <mergeCell ref="B94:U94"/>
    <mergeCell ref="B95:U95"/>
    <mergeCell ref="B96:U96"/>
    <mergeCell ref="B97:U97"/>
    <mergeCell ref="B86:U86"/>
    <mergeCell ref="B87:U87"/>
    <mergeCell ref="B88:U88"/>
    <mergeCell ref="B89:U89"/>
    <mergeCell ref="B90:U90"/>
    <mergeCell ref="B91:U91"/>
    <mergeCell ref="B110:U110"/>
    <mergeCell ref="B111:U111"/>
    <mergeCell ref="B104:U104"/>
    <mergeCell ref="B105:U105"/>
    <mergeCell ref="B106:U106"/>
    <mergeCell ref="B107:U107"/>
    <mergeCell ref="B108:U108"/>
    <mergeCell ref="B109:U109"/>
    <mergeCell ref="B98:U98"/>
    <mergeCell ref="B99:U99"/>
    <mergeCell ref="B100:U100"/>
    <mergeCell ref="B101:U101"/>
    <mergeCell ref="B102:U102"/>
    <mergeCell ref="B103:U103"/>
  </mergeCells>
  <printOptions horizontalCentered="1"/>
  <pageMargins left="0.78740157480314965" right="0.78740157480314965" top="0.98425196850393704" bottom="0.98425196850393704" header="0" footer="0.39370078740157483"/>
  <pageSetup scale="41" fitToHeight="10" orientation="landscape" r:id="rId1"/>
  <headerFooter>
    <oddFooter>&amp;R&amp;P de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9"/>
  <sheetViews>
    <sheetView zoomScale="70" zoomScaleNormal="70" zoomScaleSheetLayoutView="80" workbookViewId="0">
      <selection activeCell="T11" sqref="T11"/>
    </sheetView>
  </sheetViews>
  <sheetFormatPr baseColWidth="10" defaultColWidth="10" defaultRowHeight="12.75" x14ac:dyDescent="0.2"/>
  <cols>
    <col min="1" max="1" width="3.5" style="1" customWidth="1"/>
    <col min="2" max="2" width="14.625" style="1" customWidth="1"/>
    <col min="3" max="3" width="6.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8.62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375" style="1" customWidth="1"/>
    <col min="19" max="19" width="13" style="1" customWidth="1"/>
    <col min="20" max="20" width="10.75" style="1" customWidth="1"/>
    <col min="21" max="21" width="12.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5" t="s">
        <v>0</v>
      </c>
      <c r="C1" s="55"/>
      <c r="D1" s="55"/>
      <c r="E1" s="55"/>
      <c r="F1" s="55"/>
      <c r="G1" s="55"/>
      <c r="H1" s="55"/>
      <c r="I1" s="55"/>
      <c r="J1" s="55"/>
      <c r="K1" s="55"/>
      <c r="L1" s="55"/>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42" t="s">
        <v>6</v>
      </c>
      <c r="C4" s="52" t="s">
        <v>1006</v>
      </c>
      <c r="D4" s="102" t="s">
        <v>1007</v>
      </c>
      <c r="E4" s="102"/>
      <c r="F4" s="102"/>
      <c r="G4" s="102"/>
      <c r="H4" s="102"/>
      <c r="I4" s="44"/>
      <c r="J4" s="45" t="s">
        <v>9</v>
      </c>
      <c r="K4" s="46" t="s">
        <v>10</v>
      </c>
      <c r="L4" s="103" t="s">
        <v>11</v>
      </c>
      <c r="M4" s="103"/>
      <c r="N4" s="103"/>
      <c r="O4" s="103"/>
      <c r="P4" s="45" t="s">
        <v>12</v>
      </c>
      <c r="Q4" s="103" t="s">
        <v>1008</v>
      </c>
      <c r="R4" s="103"/>
      <c r="S4" s="45" t="s">
        <v>14</v>
      </c>
      <c r="T4" s="103"/>
      <c r="U4" s="104"/>
    </row>
    <row r="5" spans="1:21" ht="15.75" customHeight="1" x14ac:dyDescent="0.2">
      <c r="B5" s="107" t="s">
        <v>15</v>
      </c>
      <c r="C5" s="108"/>
      <c r="D5" s="108"/>
      <c r="E5" s="108"/>
      <c r="F5" s="108"/>
      <c r="G5" s="108"/>
      <c r="H5" s="108"/>
      <c r="I5" s="108"/>
      <c r="J5" s="108"/>
      <c r="K5" s="108"/>
      <c r="L5" s="108"/>
      <c r="M5" s="108"/>
      <c r="N5" s="108"/>
      <c r="O5" s="108"/>
      <c r="P5" s="108"/>
      <c r="Q5" s="108"/>
      <c r="R5" s="108"/>
      <c r="S5" s="108"/>
      <c r="T5" s="108"/>
      <c r="U5" s="109"/>
    </row>
    <row r="6" spans="1:21" ht="37.5" customHeight="1" thickBot="1" x14ac:dyDescent="0.25">
      <c r="B6" s="8" t="s">
        <v>16</v>
      </c>
      <c r="C6" s="105" t="s">
        <v>17</v>
      </c>
      <c r="D6" s="105"/>
      <c r="E6" s="105"/>
      <c r="F6" s="105"/>
      <c r="G6" s="105"/>
      <c r="H6" s="9"/>
      <c r="I6" s="9"/>
      <c r="J6" s="9" t="s">
        <v>18</v>
      </c>
      <c r="K6" s="105" t="s">
        <v>19</v>
      </c>
      <c r="L6" s="105"/>
      <c r="M6" s="105"/>
      <c r="N6" s="10"/>
      <c r="O6" s="11" t="s">
        <v>20</v>
      </c>
      <c r="P6" s="105" t="s">
        <v>21</v>
      </c>
      <c r="Q6" s="105"/>
      <c r="R6" s="12"/>
      <c r="S6" s="11" t="s">
        <v>22</v>
      </c>
      <c r="T6" s="105" t="s">
        <v>1009</v>
      </c>
      <c r="U6" s="106"/>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8" t="s">
        <v>25</v>
      </c>
      <c r="C8" s="81" t="s">
        <v>26</v>
      </c>
      <c r="D8" s="81"/>
      <c r="E8" s="81"/>
      <c r="F8" s="81"/>
      <c r="G8" s="81"/>
      <c r="H8" s="82"/>
      <c r="I8" s="87" t="s">
        <v>27</v>
      </c>
      <c r="J8" s="88"/>
      <c r="K8" s="88"/>
      <c r="L8" s="88"/>
      <c r="M8" s="88"/>
      <c r="N8" s="88"/>
      <c r="O8" s="88"/>
      <c r="P8" s="88"/>
      <c r="Q8" s="88"/>
      <c r="R8" s="88"/>
      <c r="S8" s="89"/>
      <c r="T8" s="90" t="s">
        <v>28</v>
      </c>
      <c r="U8" s="91"/>
    </row>
    <row r="9" spans="1:21" ht="19.5" customHeight="1" x14ac:dyDescent="0.2">
      <c r="B9" s="79"/>
      <c r="C9" s="83"/>
      <c r="D9" s="83"/>
      <c r="E9" s="83"/>
      <c r="F9" s="83"/>
      <c r="G9" s="83"/>
      <c r="H9" s="84"/>
      <c r="I9" s="92" t="s">
        <v>29</v>
      </c>
      <c r="J9" s="81"/>
      <c r="K9" s="81"/>
      <c r="L9" s="81" t="s">
        <v>30</v>
      </c>
      <c r="M9" s="81"/>
      <c r="N9" s="81"/>
      <c r="O9" s="81"/>
      <c r="P9" s="81" t="s">
        <v>31</v>
      </c>
      <c r="Q9" s="81" t="s">
        <v>32</v>
      </c>
      <c r="R9" s="95" t="s">
        <v>33</v>
      </c>
      <c r="S9" s="96"/>
      <c r="T9" s="81" t="s">
        <v>34</v>
      </c>
      <c r="U9" s="97" t="s">
        <v>35</v>
      </c>
    </row>
    <row r="10" spans="1:21" ht="26.25" customHeight="1" thickBot="1" x14ac:dyDescent="0.25">
      <c r="B10" s="80"/>
      <c r="C10" s="85"/>
      <c r="D10" s="85"/>
      <c r="E10" s="85"/>
      <c r="F10" s="85"/>
      <c r="G10" s="85"/>
      <c r="H10" s="86"/>
      <c r="I10" s="93"/>
      <c r="J10" s="94"/>
      <c r="K10" s="94"/>
      <c r="L10" s="94"/>
      <c r="M10" s="94"/>
      <c r="N10" s="94"/>
      <c r="O10" s="94"/>
      <c r="P10" s="94"/>
      <c r="Q10" s="94"/>
      <c r="R10" s="14" t="s">
        <v>36</v>
      </c>
      <c r="S10" s="15" t="s">
        <v>37</v>
      </c>
      <c r="T10" s="94"/>
      <c r="U10" s="98"/>
    </row>
    <row r="11" spans="1:21" ht="161.25" customHeight="1" thickTop="1" thickBot="1" x14ac:dyDescent="0.25">
      <c r="A11" s="16"/>
      <c r="B11" s="17" t="s">
        <v>75</v>
      </c>
      <c r="C11" s="74" t="s">
        <v>1010</v>
      </c>
      <c r="D11" s="74"/>
      <c r="E11" s="74"/>
      <c r="F11" s="74"/>
      <c r="G11" s="74"/>
      <c r="H11" s="74"/>
      <c r="I11" s="74" t="s">
        <v>1011</v>
      </c>
      <c r="J11" s="74"/>
      <c r="K11" s="74"/>
      <c r="L11" s="74" t="s">
        <v>1012</v>
      </c>
      <c r="M11" s="74"/>
      <c r="N11" s="74"/>
      <c r="O11" s="74"/>
      <c r="P11" s="18" t="s">
        <v>48</v>
      </c>
      <c r="Q11" s="18" t="s">
        <v>85</v>
      </c>
      <c r="R11" s="18">
        <v>100</v>
      </c>
      <c r="S11" s="18">
        <v>100</v>
      </c>
      <c r="T11" s="18">
        <v>66.7</v>
      </c>
      <c r="U11" s="19">
        <f>66.7</f>
        <v>66.7</v>
      </c>
    </row>
    <row r="12" spans="1:21" ht="75" customHeight="1" thickTop="1" thickBot="1" x14ac:dyDescent="0.25">
      <c r="A12" s="16"/>
      <c r="B12" s="17" t="s">
        <v>81</v>
      </c>
      <c r="C12" s="74" t="s">
        <v>1013</v>
      </c>
      <c r="D12" s="74"/>
      <c r="E12" s="74"/>
      <c r="F12" s="74"/>
      <c r="G12" s="74"/>
      <c r="H12" s="74"/>
      <c r="I12" s="74" t="s">
        <v>1014</v>
      </c>
      <c r="J12" s="74"/>
      <c r="K12" s="74"/>
      <c r="L12" s="74" t="s">
        <v>1015</v>
      </c>
      <c r="M12" s="74"/>
      <c r="N12" s="74"/>
      <c r="O12" s="74"/>
      <c r="P12" s="18" t="s">
        <v>48</v>
      </c>
      <c r="Q12" s="18" t="s">
        <v>85</v>
      </c>
      <c r="R12" s="18">
        <v>100</v>
      </c>
      <c r="S12" s="18">
        <v>100</v>
      </c>
      <c r="T12" s="18">
        <v>136.66999999999999</v>
      </c>
      <c r="U12" s="51">
        <f>136.67</f>
        <v>136.66999999999999</v>
      </c>
    </row>
    <row r="13" spans="1:21" ht="75" customHeight="1" thickTop="1" x14ac:dyDescent="0.2">
      <c r="A13" s="16"/>
      <c r="B13" s="17" t="s">
        <v>38</v>
      </c>
      <c r="C13" s="74" t="s">
        <v>1016</v>
      </c>
      <c r="D13" s="74"/>
      <c r="E13" s="74"/>
      <c r="F13" s="74"/>
      <c r="G13" s="74"/>
      <c r="H13" s="74"/>
      <c r="I13" s="74" t="s">
        <v>1017</v>
      </c>
      <c r="J13" s="74"/>
      <c r="K13" s="74"/>
      <c r="L13" s="74" t="s">
        <v>1018</v>
      </c>
      <c r="M13" s="74"/>
      <c r="N13" s="74"/>
      <c r="O13" s="74"/>
      <c r="P13" s="18" t="s">
        <v>48</v>
      </c>
      <c r="Q13" s="18" t="s">
        <v>85</v>
      </c>
      <c r="R13" s="18">
        <v>100</v>
      </c>
      <c r="S13" s="18">
        <v>100</v>
      </c>
      <c r="T13" s="18">
        <v>134.91999999999999</v>
      </c>
      <c r="U13" s="51">
        <f>134.92</f>
        <v>134.91999999999999</v>
      </c>
    </row>
    <row r="14" spans="1:21" ht="96" customHeight="1" x14ac:dyDescent="0.2">
      <c r="A14" s="16"/>
      <c r="B14" s="20" t="s">
        <v>49</v>
      </c>
      <c r="C14" s="65" t="s">
        <v>1019</v>
      </c>
      <c r="D14" s="65"/>
      <c r="E14" s="65"/>
      <c r="F14" s="65"/>
      <c r="G14" s="65"/>
      <c r="H14" s="65"/>
      <c r="I14" s="65" t="s">
        <v>1020</v>
      </c>
      <c r="J14" s="65"/>
      <c r="K14" s="65"/>
      <c r="L14" s="65" t="s">
        <v>1021</v>
      </c>
      <c r="M14" s="65"/>
      <c r="N14" s="65"/>
      <c r="O14" s="65"/>
      <c r="P14" s="21" t="s">
        <v>1022</v>
      </c>
      <c r="Q14" s="21" t="s">
        <v>85</v>
      </c>
      <c r="R14" s="21">
        <v>100</v>
      </c>
      <c r="S14" s="21">
        <v>100</v>
      </c>
      <c r="T14" s="21">
        <v>103.14</v>
      </c>
      <c r="U14" s="22">
        <f>103.14</f>
        <v>103.14</v>
      </c>
    </row>
    <row r="15" spans="1:21" ht="90.75" customHeight="1" thickBot="1" x14ac:dyDescent="0.25">
      <c r="A15" s="16"/>
      <c r="B15" s="20" t="s">
        <v>49</v>
      </c>
      <c r="C15" s="65" t="s">
        <v>1023</v>
      </c>
      <c r="D15" s="65"/>
      <c r="E15" s="65"/>
      <c r="F15" s="65"/>
      <c r="G15" s="65"/>
      <c r="H15" s="65"/>
      <c r="I15" s="65" t="s">
        <v>1024</v>
      </c>
      <c r="J15" s="65"/>
      <c r="K15" s="65"/>
      <c r="L15" s="65" t="s">
        <v>1025</v>
      </c>
      <c r="M15" s="65"/>
      <c r="N15" s="65"/>
      <c r="O15" s="65"/>
      <c r="P15" s="21" t="s">
        <v>48</v>
      </c>
      <c r="Q15" s="21" t="s">
        <v>85</v>
      </c>
      <c r="R15" s="21">
        <v>100</v>
      </c>
      <c r="S15" s="21">
        <v>100</v>
      </c>
      <c r="T15" s="21">
        <v>175.61</v>
      </c>
      <c r="U15" s="22">
        <f>175.61</f>
        <v>175.61</v>
      </c>
    </row>
    <row r="16" spans="1:21" ht="95.25" customHeight="1" thickTop="1" x14ac:dyDescent="0.2">
      <c r="A16" s="16"/>
      <c r="B16" s="17" t="s">
        <v>44</v>
      </c>
      <c r="C16" s="74" t="s">
        <v>1026</v>
      </c>
      <c r="D16" s="74"/>
      <c r="E16" s="74"/>
      <c r="F16" s="74"/>
      <c r="G16" s="74"/>
      <c r="H16" s="74"/>
      <c r="I16" s="74" t="s">
        <v>1027</v>
      </c>
      <c r="J16" s="74"/>
      <c r="K16" s="74"/>
      <c r="L16" s="74" t="s">
        <v>1028</v>
      </c>
      <c r="M16" s="74"/>
      <c r="N16" s="74"/>
      <c r="O16" s="74"/>
      <c r="P16" s="18" t="s">
        <v>48</v>
      </c>
      <c r="Q16" s="18" t="s">
        <v>91</v>
      </c>
      <c r="R16" s="18">
        <v>100</v>
      </c>
      <c r="S16" s="18">
        <v>100</v>
      </c>
      <c r="T16" s="18">
        <v>143.69</v>
      </c>
      <c r="U16" s="51">
        <f>143.69</f>
        <v>143.69</v>
      </c>
    </row>
    <row r="17" spans="1:22" ht="95.25" customHeight="1" x14ac:dyDescent="0.2">
      <c r="A17" s="16"/>
      <c r="B17" s="20" t="s">
        <v>49</v>
      </c>
      <c r="C17" s="65" t="s">
        <v>1029</v>
      </c>
      <c r="D17" s="65"/>
      <c r="E17" s="65"/>
      <c r="F17" s="65"/>
      <c r="G17" s="65"/>
      <c r="H17" s="65"/>
      <c r="I17" s="65" t="s">
        <v>1030</v>
      </c>
      <c r="J17" s="65"/>
      <c r="K17" s="65"/>
      <c r="L17" s="65" t="s">
        <v>1031</v>
      </c>
      <c r="M17" s="65"/>
      <c r="N17" s="65"/>
      <c r="O17" s="65"/>
      <c r="P17" s="21" t="s">
        <v>48</v>
      </c>
      <c r="Q17" s="21" t="s">
        <v>91</v>
      </c>
      <c r="R17" s="21">
        <v>100</v>
      </c>
      <c r="S17" s="21">
        <v>100</v>
      </c>
      <c r="T17" s="21">
        <v>157.01</v>
      </c>
      <c r="U17" s="22">
        <f>157.01</f>
        <v>157.01</v>
      </c>
    </row>
    <row r="18" spans="1:22" ht="95.25" customHeight="1" x14ac:dyDescent="0.2">
      <c r="A18" s="16"/>
      <c r="B18" s="20" t="s">
        <v>49</v>
      </c>
      <c r="C18" s="65" t="s">
        <v>1032</v>
      </c>
      <c r="D18" s="65"/>
      <c r="E18" s="65"/>
      <c r="F18" s="65"/>
      <c r="G18" s="65"/>
      <c r="H18" s="65"/>
      <c r="I18" s="65" t="s">
        <v>1033</v>
      </c>
      <c r="J18" s="65"/>
      <c r="K18" s="65"/>
      <c r="L18" s="65" t="s">
        <v>1034</v>
      </c>
      <c r="M18" s="65"/>
      <c r="N18" s="65"/>
      <c r="O18" s="65"/>
      <c r="P18" s="21" t="s">
        <v>1035</v>
      </c>
      <c r="Q18" s="21" t="s">
        <v>1036</v>
      </c>
      <c r="R18" s="21">
        <v>100</v>
      </c>
      <c r="S18" s="21">
        <v>100</v>
      </c>
      <c r="T18" s="21">
        <v>103.85</v>
      </c>
      <c r="U18" s="22">
        <f>103.85</f>
        <v>103.85</v>
      </c>
    </row>
    <row r="19" spans="1:22" ht="95.25" customHeight="1" x14ac:dyDescent="0.2">
      <c r="A19" s="16"/>
      <c r="B19" s="20" t="s">
        <v>49</v>
      </c>
      <c r="C19" s="65" t="s">
        <v>1037</v>
      </c>
      <c r="D19" s="65"/>
      <c r="E19" s="65"/>
      <c r="F19" s="65"/>
      <c r="G19" s="65"/>
      <c r="H19" s="65"/>
      <c r="I19" s="65" t="s">
        <v>1038</v>
      </c>
      <c r="J19" s="65"/>
      <c r="K19" s="65"/>
      <c r="L19" s="65" t="s">
        <v>1039</v>
      </c>
      <c r="M19" s="65"/>
      <c r="N19" s="65"/>
      <c r="O19" s="65"/>
      <c r="P19" s="21" t="s">
        <v>48</v>
      </c>
      <c r="Q19" s="21" t="s">
        <v>1036</v>
      </c>
      <c r="R19" s="21">
        <v>100</v>
      </c>
      <c r="S19" s="21">
        <v>100</v>
      </c>
      <c r="T19" s="21">
        <v>95.56</v>
      </c>
      <c r="U19" s="22">
        <f>95.56</f>
        <v>95.56</v>
      </c>
    </row>
    <row r="20" spans="1:22" ht="95.25" customHeight="1" x14ac:dyDescent="0.2">
      <c r="A20" s="16"/>
      <c r="B20" s="20" t="s">
        <v>49</v>
      </c>
      <c r="C20" s="65" t="s">
        <v>1040</v>
      </c>
      <c r="D20" s="65"/>
      <c r="E20" s="65"/>
      <c r="F20" s="65"/>
      <c r="G20" s="65"/>
      <c r="H20" s="65"/>
      <c r="I20" s="65" t="s">
        <v>1041</v>
      </c>
      <c r="J20" s="65"/>
      <c r="K20" s="65"/>
      <c r="L20" s="65" t="s">
        <v>1042</v>
      </c>
      <c r="M20" s="65"/>
      <c r="N20" s="65"/>
      <c r="O20" s="65"/>
      <c r="P20" s="21" t="s">
        <v>48</v>
      </c>
      <c r="Q20" s="21" t="s">
        <v>91</v>
      </c>
      <c r="R20" s="21">
        <v>100</v>
      </c>
      <c r="S20" s="21">
        <v>100</v>
      </c>
      <c r="T20" s="21">
        <v>119.52</v>
      </c>
      <c r="U20" s="22">
        <f>119.52</f>
        <v>119.52</v>
      </c>
    </row>
    <row r="21" spans="1:22" ht="95.25" customHeight="1" thickBot="1" x14ac:dyDescent="0.25">
      <c r="A21" s="16"/>
      <c r="B21" s="20" t="s">
        <v>49</v>
      </c>
      <c r="C21" s="65" t="s">
        <v>1043</v>
      </c>
      <c r="D21" s="65"/>
      <c r="E21" s="65"/>
      <c r="F21" s="65"/>
      <c r="G21" s="65"/>
      <c r="H21" s="65"/>
      <c r="I21" s="65" t="s">
        <v>1044</v>
      </c>
      <c r="J21" s="65"/>
      <c r="K21" s="65"/>
      <c r="L21" s="65" t="s">
        <v>1045</v>
      </c>
      <c r="M21" s="65"/>
      <c r="N21" s="65"/>
      <c r="O21" s="65"/>
      <c r="P21" s="21" t="s">
        <v>255</v>
      </c>
      <c r="Q21" s="21" t="s">
        <v>91</v>
      </c>
      <c r="R21" s="21">
        <v>100</v>
      </c>
      <c r="S21" s="21">
        <v>100</v>
      </c>
      <c r="T21" s="21">
        <v>103.01</v>
      </c>
      <c r="U21" s="22">
        <f>103.01</f>
        <v>103.01</v>
      </c>
    </row>
    <row r="22" spans="1:22" ht="14.25" customHeight="1" thickTop="1" thickBot="1" x14ac:dyDescent="0.25">
      <c r="B22" s="4" t="s">
        <v>58</v>
      </c>
      <c r="C22" s="5"/>
      <c r="D22" s="5"/>
      <c r="E22" s="5"/>
      <c r="F22" s="5"/>
      <c r="G22" s="5"/>
      <c r="H22" s="6"/>
      <c r="I22" s="6"/>
      <c r="J22" s="6"/>
      <c r="K22" s="6"/>
      <c r="L22" s="6"/>
      <c r="M22" s="6"/>
      <c r="N22" s="6"/>
      <c r="O22" s="6"/>
      <c r="P22" s="6"/>
      <c r="Q22" s="6"/>
      <c r="R22" s="6"/>
      <c r="S22" s="6"/>
      <c r="T22" s="6"/>
      <c r="U22" s="7"/>
      <c r="V22" s="23"/>
    </row>
    <row r="23" spans="1:22" ht="26.25" customHeight="1" thickTop="1" x14ac:dyDescent="0.2">
      <c r="B23" s="24"/>
      <c r="C23" s="25"/>
      <c r="D23" s="25"/>
      <c r="E23" s="25"/>
      <c r="F23" s="25"/>
      <c r="G23" s="25"/>
      <c r="H23" s="26"/>
      <c r="I23" s="26"/>
      <c r="J23" s="26"/>
      <c r="K23" s="26"/>
      <c r="L23" s="26"/>
      <c r="M23" s="26"/>
      <c r="N23" s="26"/>
      <c r="O23" s="26"/>
      <c r="P23" s="26"/>
      <c r="Q23" s="26"/>
      <c r="R23" s="27"/>
      <c r="S23" s="28" t="s">
        <v>33</v>
      </c>
      <c r="T23" s="28" t="s">
        <v>59</v>
      </c>
      <c r="U23" s="13" t="s">
        <v>60</v>
      </c>
    </row>
    <row r="24" spans="1:22" ht="26.25" customHeight="1" thickBot="1" x14ac:dyDescent="0.25">
      <c r="B24" s="29"/>
      <c r="C24" s="30"/>
      <c r="D24" s="30"/>
      <c r="E24" s="30"/>
      <c r="F24" s="30"/>
      <c r="G24" s="30"/>
      <c r="H24" s="31"/>
      <c r="I24" s="31"/>
      <c r="J24" s="31"/>
      <c r="K24" s="31"/>
      <c r="L24" s="31"/>
      <c r="M24" s="31"/>
      <c r="N24" s="31"/>
      <c r="O24" s="31"/>
      <c r="P24" s="31"/>
      <c r="Q24" s="31"/>
      <c r="R24" s="31"/>
      <c r="S24" s="32" t="s">
        <v>61</v>
      </c>
      <c r="T24" s="33" t="s">
        <v>61</v>
      </c>
      <c r="U24" s="33" t="s">
        <v>62</v>
      </c>
    </row>
    <row r="25" spans="1:22" ht="13.5" customHeight="1" thickBot="1" x14ac:dyDescent="0.25">
      <c r="B25" s="67" t="s">
        <v>63</v>
      </c>
      <c r="C25" s="68"/>
      <c r="D25" s="68"/>
      <c r="E25" s="34"/>
      <c r="F25" s="34"/>
      <c r="G25" s="34"/>
      <c r="H25" s="35"/>
      <c r="I25" s="35"/>
      <c r="J25" s="35"/>
      <c r="K25" s="35"/>
      <c r="L25" s="35"/>
      <c r="M25" s="35"/>
      <c r="N25" s="35"/>
      <c r="O25" s="35"/>
      <c r="P25" s="36"/>
      <c r="Q25" s="36"/>
      <c r="R25" s="36"/>
      <c r="S25" s="53">
        <v>65.5</v>
      </c>
      <c r="T25" s="53">
        <v>64.47</v>
      </c>
      <c r="U25" s="54">
        <f>+IF(ISERR(T25/S25*100),"N/A",ROUND(T25/S25*100,1))</f>
        <v>98.4</v>
      </c>
    </row>
    <row r="26" spans="1:22" ht="13.5" customHeight="1" thickBot="1" x14ac:dyDescent="0.25">
      <c r="B26" s="69" t="s">
        <v>64</v>
      </c>
      <c r="C26" s="70"/>
      <c r="D26" s="70"/>
      <c r="E26" s="37"/>
      <c r="F26" s="37"/>
      <c r="G26" s="37"/>
      <c r="H26" s="38"/>
      <c r="I26" s="38"/>
      <c r="J26" s="38"/>
      <c r="K26" s="38"/>
      <c r="L26" s="38"/>
      <c r="M26" s="38"/>
      <c r="N26" s="38"/>
      <c r="O26" s="38"/>
      <c r="P26" s="39"/>
      <c r="Q26" s="39"/>
      <c r="R26" s="39"/>
      <c r="S26" s="53">
        <v>64.47</v>
      </c>
      <c r="T26" s="53">
        <v>64.47</v>
      </c>
      <c r="U26" s="54">
        <f>+IF(ISERR(T26/S26*100),"N/A",ROUND(T26/S26*100,1))</f>
        <v>100</v>
      </c>
    </row>
    <row r="27" spans="1:22" ht="14.85" customHeight="1" thickTop="1" thickBot="1" x14ac:dyDescent="0.25">
      <c r="B27" s="4" t="s">
        <v>65</v>
      </c>
      <c r="C27" s="5"/>
      <c r="D27" s="5"/>
      <c r="E27" s="5"/>
      <c r="F27" s="5"/>
      <c r="G27" s="5"/>
      <c r="H27" s="6"/>
      <c r="I27" s="6"/>
      <c r="J27" s="6"/>
      <c r="K27" s="6"/>
      <c r="L27" s="6"/>
      <c r="M27" s="6"/>
      <c r="N27" s="6"/>
      <c r="O27" s="6"/>
      <c r="P27" s="6"/>
      <c r="Q27" s="6"/>
      <c r="R27" s="6"/>
      <c r="S27" s="6"/>
      <c r="T27" s="6"/>
      <c r="U27" s="7"/>
    </row>
    <row r="28" spans="1:22" ht="44.25" customHeight="1" thickTop="1" x14ac:dyDescent="0.2">
      <c r="B28" s="71" t="s">
        <v>66</v>
      </c>
      <c r="C28" s="72"/>
      <c r="D28" s="72"/>
      <c r="E28" s="72"/>
      <c r="F28" s="72"/>
      <c r="G28" s="72"/>
      <c r="H28" s="72"/>
      <c r="I28" s="72"/>
      <c r="J28" s="72"/>
      <c r="K28" s="72"/>
      <c r="L28" s="72"/>
      <c r="M28" s="72"/>
      <c r="N28" s="72"/>
      <c r="O28" s="72"/>
      <c r="P28" s="72"/>
      <c r="Q28" s="72"/>
      <c r="R28" s="72"/>
      <c r="S28" s="72"/>
      <c r="T28" s="72"/>
      <c r="U28" s="73"/>
    </row>
    <row r="29" spans="1:22" ht="194.25" customHeight="1" x14ac:dyDescent="0.2">
      <c r="B29" s="59" t="s">
        <v>1046</v>
      </c>
      <c r="C29" s="60"/>
      <c r="D29" s="60"/>
      <c r="E29" s="60"/>
      <c r="F29" s="60"/>
      <c r="G29" s="60"/>
      <c r="H29" s="60"/>
      <c r="I29" s="60"/>
      <c r="J29" s="60"/>
      <c r="K29" s="60"/>
      <c r="L29" s="60"/>
      <c r="M29" s="60"/>
      <c r="N29" s="60"/>
      <c r="O29" s="60"/>
      <c r="P29" s="60"/>
      <c r="Q29" s="60"/>
      <c r="R29" s="60"/>
      <c r="S29" s="60"/>
      <c r="T29" s="60"/>
      <c r="U29" s="61"/>
    </row>
    <row r="30" spans="1:22" ht="155.85" customHeight="1" x14ac:dyDescent="0.2">
      <c r="B30" s="59" t="s">
        <v>1047</v>
      </c>
      <c r="C30" s="60"/>
      <c r="D30" s="60"/>
      <c r="E30" s="60"/>
      <c r="F30" s="60"/>
      <c r="G30" s="60"/>
      <c r="H30" s="60"/>
      <c r="I30" s="60"/>
      <c r="J30" s="60"/>
      <c r="K30" s="60"/>
      <c r="L30" s="60"/>
      <c r="M30" s="60"/>
      <c r="N30" s="60"/>
      <c r="O30" s="60"/>
      <c r="P30" s="60"/>
      <c r="Q30" s="60"/>
      <c r="R30" s="60"/>
      <c r="S30" s="60"/>
      <c r="T30" s="60"/>
      <c r="U30" s="61"/>
    </row>
    <row r="31" spans="1:22" ht="90" customHeight="1" x14ac:dyDescent="0.2">
      <c r="B31" s="59" t="s">
        <v>1048</v>
      </c>
      <c r="C31" s="60"/>
      <c r="D31" s="60"/>
      <c r="E31" s="60"/>
      <c r="F31" s="60"/>
      <c r="G31" s="60"/>
      <c r="H31" s="60"/>
      <c r="I31" s="60"/>
      <c r="J31" s="60"/>
      <c r="K31" s="60"/>
      <c r="L31" s="60"/>
      <c r="M31" s="60"/>
      <c r="N31" s="60"/>
      <c r="O31" s="60"/>
      <c r="P31" s="60"/>
      <c r="Q31" s="60"/>
      <c r="R31" s="60"/>
      <c r="S31" s="60"/>
      <c r="T31" s="60"/>
      <c r="U31" s="61"/>
    </row>
    <row r="32" spans="1:22" ht="145.5" customHeight="1" x14ac:dyDescent="0.2">
      <c r="B32" s="59" t="s">
        <v>1049</v>
      </c>
      <c r="C32" s="60"/>
      <c r="D32" s="60"/>
      <c r="E32" s="60"/>
      <c r="F32" s="60"/>
      <c r="G32" s="60"/>
      <c r="H32" s="60"/>
      <c r="I32" s="60"/>
      <c r="J32" s="60"/>
      <c r="K32" s="60"/>
      <c r="L32" s="60"/>
      <c r="M32" s="60"/>
      <c r="N32" s="60"/>
      <c r="O32" s="60"/>
      <c r="P32" s="60"/>
      <c r="Q32" s="60"/>
      <c r="R32" s="60"/>
      <c r="S32" s="60"/>
      <c r="T32" s="60"/>
      <c r="U32" s="61"/>
    </row>
    <row r="33" spans="2:21" ht="146.1" customHeight="1" x14ac:dyDescent="0.2">
      <c r="B33" s="59" t="s">
        <v>1050</v>
      </c>
      <c r="C33" s="60"/>
      <c r="D33" s="60"/>
      <c r="E33" s="60"/>
      <c r="F33" s="60"/>
      <c r="G33" s="60"/>
      <c r="H33" s="60"/>
      <c r="I33" s="60"/>
      <c r="J33" s="60"/>
      <c r="K33" s="60"/>
      <c r="L33" s="60"/>
      <c r="M33" s="60"/>
      <c r="N33" s="60"/>
      <c r="O33" s="60"/>
      <c r="P33" s="60"/>
      <c r="Q33" s="60"/>
      <c r="R33" s="60"/>
      <c r="S33" s="60"/>
      <c r="T33" s="60"/>
      <c r="U33" s="61"/>
    </row>
    <row r="34" spans="2:21" ht="104.25" customHeight="1" x14ac:dyDescent="0.2">
      <c r="B34" s="59" t="s">
        <v>1051</v>
      </c>
      <c r="C34" s="60"/>
      <c r="D34" s="60"/>
      <c r="E34" s="60"/>
      <c r="F34" s="60"/>
      <c r="G34" s="60"/>
      <c r="H34" s="60"/>
      <c r="I34" s="60"/>
      <c r="J34" s="60"/>
      <c r="K34" s="60"/>
      <c r="L34" s="60"/>
      <c r="M34" s="60"/>
      <c r="N34" s="60"/>
      <c r="O34" s="60"/>
      <c r="P34" s="60"/>
      <c r="Q34" s="60"/>
      <c r="R34" s="60"/>
      <c r="S34" s="60"/>
      <c r="T34" s="60"/>
      <c r="U34" s="61"/>
    </row>
    <row r="35" spans="2:21" ht="91.7" customHeight="1" x14ac:dyDescent="0.2">
      <c r="B35" s="59" t="s">
        <v>1052</v>
      </c>
      <c r="C35" s="60"/>
      <c r="D35" s="60"/>
      <c r="E35" s="60"/>
      <c r="F35" s="60"/>
      <c r="G35" s="60"/>
      <c r="H35" s="60"/>
      <c r="I35" s="60"/>
      <c r="J35" s="60"/>
      <c r="K35" s="60"/>
      <c r="L35" s="60"/>
      <c r="M35" s="60"/>
      <c r="N35" s="60"/>
      <c r="O35" s="60"/>
      <c r="P35" s="60"/>
      <c r="Q35" s="60"/>
      <c r="R35" s="60"/>
      <c r="S35" s="60"/>
      <c r="T35" s="60"/>
      <c r="U35" s="61"/>
    </row>
    <row r="36" spans="2:21" ht="99" customHeight="1" x14ac:dyDescent="0.2">
      <c r="B36" s="59" t="s">
        <v>1053</v>
      </c>
      <c r="C36" s="60"/>
      <c r="D36" s="60"/>
      <c r="E36" s="60"/>
      <c r="F36" s="60"/>
      <c r="G36" s="60"/>
      <c r="H36" s="60"/>
      <c r="I36" s="60"/>
      <c r="J36" s="60"/>
      <c r="K36" s="60"/>
      <c r="L36" s="60"/>
      <c r="M36" s="60"/>
      <c r="N36" s="60"/>
      <c r="O36" s="60"/>
      <c r="P36" s="60"/>
      <c r="Q36" s="60"/>
      <c r="R36" s="60"/>
      <c r="S36" s="60"/>
      <c r="T36" s="60"/>
      <c r="U36" s="61"/>
    </row>
    <row r="37" spans="2:21" ht="146.44999999999999" customHeight="1" x14ac:dyDescent="0.2">
      <c r="B37" s="59" t="s">
        <v>1054</v>
      </c>
      <c r="C37" s="60"/>
      <c r="D37" s="60"/>
      <c r="E37" s="60"/>
      <c r="F37" s="60"/>
      <c r="G37" s="60"/>
      <c r="H37" s="60"/>
      <c r="I37" s="60"/>
      <c r="J37" s="60"/>
      <c r="K37" s="60"/>
      <c r="L37" s="60"/>
      <c r="M37" s="60"/>
      <c r="N37" s="60"/>
      <c r="O37" s="60"/>
      <c r="P37" s="60"/>
      <c r="Q37" s="60"/>
      <c r="R37" s="60"/>
      <c r="S37" s="60"/>
      <c r="T37" s="60"/>
      <c r="U37" s="61"/>
    </row>
    <row r="38" spans="2:21" ht="126.2" customHeight="1" x14ac:dyDescent="0.2">
      <c r="B38" s="59" t="s">
        <v>1055</v>
      </c>
      <c r="C38" s="60"/>
      <c r="D38" s="60"/>
      <c r="E38" s="60"/>
      <c r="F38" s="60"/>
      <c r="G38" s="60"/>
      <c r="H38" s="60"/>
      <c r="I38" s="60"/>
      <c r="J38" s="60"/>
      <c r="K38" s="60"/>
      <c r="L38" s="60"/>
      <c r="M38" s="60"/>
      <c r="N38" s="60"/>
      <c r="O38" s="60"/>
      <c r="P38" s="60"/>
      <c r="Q38" s="60"/>
      <c r="R38" s="60"/>
      <c r="S38" s="60"/>
      <c r="T38" s="60"/>
      <c r="U38" s="61"/>
    </row>
    <row r="39" spans="2:21" ht="126.75" customHeight="1" thickBot="1" x14ac:dyDescent="0.25">
      <c r="B39" s="62" t="s">
        <v>1056</v>
      </c>
      <c r="C39" s="63"/>
      <c r="D39" s="63"/>
      <c r="E39" s="63"/>
      <c r="F39" s="63"/>
      <c r="G39" s="63"/>
      <c r="H39" s="63"/>
      <c r="I39" s="63"/>
      <c r="J39" s="63"/>
      <c r="K39" s="63"/>
      <c r="L39" s="63"/>
      <c r="M39" s="63"/>
      <c r="N39" s="63"/>
      <c r="O39" s="63"/>
      <c r="P39" s="63"/>
      <c r="Q39" s="63"/>
      <c r="R39" s="63"/>
      <c r="S39" s="63"/>
      <c r="T39" s="63"/>
      <c r="U39" s="64"/>
    </row>
  </sheetData>
  <mergeCells count="68">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C18:H18"/>
    <mergeCell ref="I18:K18"/>
    <mergeCell ref="L18:O18"/>
    <mergeCell ref="C19:H19"/>
    <mergeCell ref="I19:K19"/>
    <mergeCell ref="L19:O19"/>
    <mergeCell ref="B31:U31"/>
    <mergeCell ref="C20:H20"/>
    <mergeCell ref="I20:K20"/>
    <mergeCell ref="L20:O20"/>
    <mergeCell ref="C21:H21"/>
    <mergeCell ref="I21:K21"/>
    <mergeCell ref="L21:O21"/>
    <mergeCell ref="B25:D25"/>
    <mergeCell ref="B26:D26"/>
    <mergeCell ref="B28:U28"/>
    <mergeCell ref="B29:U29"/>
    <mergeCell ref="B30:U30"/>
    <mergeCell ref="B38:U38"/>
    <mergeCell ref="B39:U39"/>
    <mergeCell ref="B32:U32"/>
    <mergeCell ref="B33:U33"/>
    <mergeCell ref="B34:U34"/>
    <mergeCell ref="B35:U35"/>
    <mergeCell ref="B36:U36"/>
    <mergeCell ref="B37:U37"/>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5"/>
  <sheetViews>
    <sheetView zoomScale="80" zoomScaleNormal="80" zoomScaleSheetLayoutView="100" workbookViewId="0">
      <selection activeCell="U12" sqref="U12"/>
    </sheetView>
  </sheetViews>
  <sheetFormatPr baseColWidth="10" defaultColWidth="10" defaultRowHeight="12.75" x14ac:dyDescent="0.2"/>
  <cols>
    <col min="1" max="1" width="3.5" style="1" customWidth="1"/>
    <col min="2" max="2" width="14.6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8.62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375" style="1" customWidth="1"/>
    <col min="19" max="19" width="13" style="1" customWidth="1"/>
    <col min="20" max="20" width="10.75" style="1" customWidth="1"/>
    <col min="21" max="21" width="12.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5" t="s">
        <v>0</v>
      </c>
      <c r="C1" s="55"/>
      <c r="D1" s="55"/>
      <c r="E1" s="55"/>
      <c r="F1" s="55"/>
      <c r="G1" s="55"/>
      <c r="H1" s="55"/>
      <c r="I1" s="55"/>
      <c r="J1" s="55"/>
      <c r="K1" s="55"/>
      <c r="L1" s="55"/>
      <c r="M1" s="3" t="s">
        <v>1</v>
      </c>
    </row>
    <row r="2" spans="1:22" ht="13.5" customHeight="1" thickBot="1" x14ac:dyDescent="0.25"/>
    <row r="3" spans="1:22" ht="13.5" customHeight="1" thickTop="1" thickBot="1" x14ac:dyDescent="0.25">
      <c r="B3" s="4" t="s">
        <v>5</v>
      </c>
      <c r="C3" s="5"/>
      <c r="D3" s="5"/>
      <c r="E3" s="5"/>
      <c r="F3" s="5"/>
      <c r="G3" s="5"/>
      <c r="H3" s="6"/>
      <c r="I3" s="6"/>
      <c r="J3" s="6"/>
      <c r="K3" s="6"/>
      <c r="L3" s="6"/>
      <c r="M3" s="6"/>
      <c r="N3" s="6"/>
      <c r="O3" s="6"/>
      <c r="P3" s="6"/>
      <c r="Q3" s="6"/>
      <c r="R3" s="6"/>
      <c r="S3" s="6"/>
      <c r="T3" s="6"/>
      <c r="U3" s="7"/>
    </row>
    <row r="4" spans="1:22" ht="51.75" customHeight="1" thickTop="1" x14ac:dyDescent="0.2">
      <c r="B4" s="42" t="s">
        <v>6</v>
      </c>
      <c r="C4" s="43" t="s">
        <v>7</v>
      </c>
      <c r="D4" s="102" t="s">
        <v>8</v>
      </c>
      <c r="E4" s="102"/>
      <c r="F4" s="102"/>
      <c r="G4" s="102"/>
      <c r="H4" s="102"/>
      <c r="I4" s="44"/>
      <c r="J4" s="45" t="s">
        <v>9</v>
      </c>
      <c r="K4" s="46" t="s">
        <v>10</v>
      </c>
      <c r="L4" s="103" t="s">
        <v>11</v>
      </c>
      <c r="M4" s="103"/>
      <c r="N4" s="103"/>
      <c r="O4" s="103"/>
      <c r="P4" s="45" t="s">
        <v>12</v>
      </c>
      <c r="Q4" s="103" t="s">
        <v>13</v>
      </c>
      <c r="R4" s="103"/>
      <c r="S4" s="45" t="s">
        <v>14</v>
      </c>
      <c r="T4" s="103"/>
      <c r="U4" s="104"/>
    </row>
    <row r="5" spans="1:22" ht="15.75" customHeight="1" x14ac:dyDescent="0.2">
      <c r="B5" s="99" t="s">
        <v>15</v>
      </c>
      <c r="C5" s="100"/>
      <c r="D5" s="100"/>
      <c r="E5" s="100"/>
      <c r="F5" s="100"/>
      <c r="G5" s="100"/>
      <c r="H5" s="100"/>
      <c r="I5" s="100"/>
      <c r="J5" s="100"/>
      <c r="K5" s="100"/>
      <c r="L5" s="100"/>
      <c r="M5" s="100"/>
      <c r="N5" s="100"/>
      <c r="O5" s="100"/>
      <c r="P5" s="100"/>
      <c r="Q5" s="100"/>
      <c r="R5" s="100"/>
      <c r="S5" s="100"/>
      <c r="T5" s="100"/>
      <c r="U5" s="101"/>
    </row>
    <row r="6" spans="1:22" ht="49.5" customHeight="1" thickBot="1" x14ac:dyDescent="0.25">
      <c r="B6" s="47" t="s">
        <v>16</v>
      </c>
      <c r="C6" s="76" t="s">
        <v>17</v>
      </c>
      <c r="D6" s="76"/>
      <c r="E6" s="76"/>
      <c r="F6" s="76"/>
      <c r="G6" s="76"/>
      <c r="H6" s="48"/>
      <c r="I6" s="48"/>
      <c r="J6" s="48" t="s">
        <v>18</v>
      </c>
      <c r="K6" s="76" t="s">
        <v>19</v>
      </c>
      <c r="L6" s="76"/>
      <c r="M6" s="76"/>
      <c r="N6" s="49"/>
      <c r="O6" s="48" t="s">
        <v>20</v>
      </c>
      <c r="P6" s="76" t="s">
        <v>21</v>
      </c>
      <c r="Q6" s="76"/>
      <c r="R6" s="50"/>
      <c r="S6" s="48" t="s">
        <v>22</v>
      </c>
      <c r="T6" s="76" t="s">
        <v>23</v>
      </c>
      <c r="U6" s="77"/>
    </row>
    <row r="7" spans="1:22" ht="14.25" customHeight="1" thickTop="1" thickBot="1" x14ac:dyDescent="0.25">
      <c r="B7" s="4" t="s">
        <v>24</v>
      </c>
      <c r="C7" s="5"/>
      <c r="D7" s="5"/>
      <c r="E7" s="5"/>
      <c r="F7" s="5"/>
      <c r="G7" s="5"/>
      <c r="H7" s="6"/>
      <c r="I7" s="6"/>
      <c r="J7" s="6"/>
      <c r="K7" s="6"/>
      <c r="L7" s="6"/>
      <c r="M7" s="6"/>
      <c r="N7" s="6"/>
      <c r="O7" s="6"/>
      <c r="P7" s="6"/>
      <c r="Q7" s="6"/>
      <c r="R7" s="6"/>
      <c r="S7" s="6"/>
      <c r="T7" s="6"/>
      <c r="U7" s="7"/>
    </row>
    <row r="8" spans="1:22" ht="16.5" customHeight="1" thickTop="1" x14ac:dyDescent="0.2">
      <c r="B8" s="78" t="s">
        <v>25</v>
      </c>
      <c r="C8" s="81" t="s">
        <v>26</v>
      </c>
      <c r="D8" s="81"/>
      <c r="E8" s="81"/>
      <c r="F8" s="81"/>
      <c r="G8" s="81"/>
      <c r="H8" s="82"/>
      <c r="I8" s="87" t="s">
        <v>27</v>
      </c>
      <c r="J8" s="88"/>
      <c r="K8" s="88"/>
      <c r="L8" s="88"/>
      <c r="M8" s="88"/>
      <c r="N8" s="88"/>
      <c r="O8" s="88"/>
      <c r="P8" s="88"/>
      <c r="Q8" s="88"/>
      <c r="R8" s="88"/>
      <c r="S8" s="89"/>
      <c r="T8" s="90" t="s">
        <v>28</v>
      </c>
      <c r="U8" s="91"/>
    </row>
    <row r="9" spans="1:22" ht="19.5" customHeight="1" x14ac:dyDescent="0.2">
      <c r="B9" s="79"/>
      <c r="C9" s="83"/>
      <c r="D9" s="83"/>
      <c r="E9" s="83"/>
      <c r="F9" s="83"/>
      <c r="G9" s="83"/>
      <c r="H9" s="84"/>
      <c r="I9" s="92" t="s">
        <v>29</v>
      </c>
      <c r="J9" s="81"/>
      <c r="K9" s="81"/>
      <c r="L9" s="81" t="s">
        <v>30</v>
      </c>
      <c r="M9" s="81"/>
      <c r="N9" s="81"/>
      <c r="O9" s="81"/>
      <c r="P9" s="81" t="s">
        <v>31</v>
      </c>
      <c r="Q9" s="81" t="s">
        <v>32</v>
      </c>
      <c r="R9" s="95" t="s">
        <v>33</v>
      </c>
      <c r="S9" s="96"/>
      <c r="T9" s="81" t="s">
        <v>34</v>
      </c>
      <c r="U9" s="97" t="s">
        <v>35</v>
      </c>
    </row>
    <row r="10" spans="1:22" ht="30.75" customHeight="1" thickBot="1" x14ac:dyDescent="0.25">
      <c r="B10" s="80"/>
      <c r="C10" s="85"/>
      <c r="D10" s="85"/>
      <c r="E10" s="85"/>
      <c r="F10" s="85"/>
      <c r="G10" s="85"/>
      <c r="H10" s="86"/>
      <c r="I10" s="93"/>
      <c r="J10" s="94"/>
      <c r="K10" s="94"/>
      <c r="L10" s="94"/>
      <c r="M10" s="94"/>
      <c r="N10" s="94"/>
      <c r="O10" s="94"/>
      <c r="P10" s="94"/>
      <c r="Q10" s="94"/>
      <c r="R10" s="14" t="s">
        <v>36</v>
      </c>
      <c r="S10" s="15" t="s">
        <v>37</v>
      </c>
      <c r="T10" s="94"/>
      <c r="U10" s="98"/>
    </row>
    <row r="11" spans="1:22" ht="96.75" customHeight="1" thickTop="1" thickBot="1" x14ac:dyDescent="0.25">
      <c r="A11" s="16"/>
      <c r="B11" s="17" t="s">
        <v>38</v>
      </c>
      <c r="C11" s="74" t="s">
        <v>39</v>
      </c>
      <c r="D11" s="74"/>
      <c r="E11" s="74"/>
      <c r="F11" s="74"/>
      <c r="G11" s="74"/>
      <c r="H11" s="74"/>
      <c r="I11" s="74" t="s">
        <v>40</v>
      </c>
      <c r="J11" s="74"/>
      <c r="K11" s="74"/>
      <c r="L11" s="75" t="s">
        <v>41</v>
      </c>
      <c r="M11" s="75"/>
      <c r="N11" s="75"/>
      <c r="O11" s="75"/>
      <c r="P11" s="18" t="s">
        <v>42</v>
      </c>
      <c r="Q11" s="18" t="s">
        <v>43</v>
      </c>
      <c r="R11" s="41">
        <v>100</v>
      </c>
      <c r="S11" s="41">
        <v>100</v>
      </c>
      <c r="T11" s="18">
        <v>95.9</v>
      </c>
      <c r="U11" s="51">
        <f>95.9</f>
        <v>95.9</v>
      </c>
    </row>
    <row r="12" spans="1:22" ht="96.75" customHeight="1" thickTop="1" x14ac:dyDescent="0.2">
      <c r="A12" s="16"/>
      <c r="B12" s="17" t="s">
        <v>44</v>
      </c>
      <c r="C12" s="74" t="s">
        <v>45</v>
      </c>
      <c r="D12" s="74"/>
      <c r="E12" s="74"/>
      <c r="F12" s="74"/>
      <c r="G12" s="74"/>
      <c r="H12" s="74"/>
      <c r="I12" s="74" t="s">
        <v>46</v>
      </c>
      <c r="J12" s="74"/>
      <c r="K12" s="74"/>
      <c r="L12" s="75" t="s">
        <v>47</v>
      </c>
      <c r="M12" s="75"/>
      <c r="N12" s="75"/>
      <c r="O12" s="75"/>
      <c r="P12" s="18" t="s">
        <v>48</v>
      </c>
      <c r="Q12" s="18" t="s">
        <v>43</v>
      </c>
      <c r="R12" s="18">
        <v>100</v>
      </c>
      <c r="S12" s="18">
        <v>100</v>
      </c>
      <c r="T12" s="18">
        <v>100</v>
      </c>
      <c r="U12" s="51">
        <f>100</f>
        <v>100</v>
      </c>
    </row>
    <row r="13" spans="1:22" ht="96.75" customHeight="1" x14ac:dyDescent="0.2">
      <c r="A13" s="16"/>
      <c r="B13" s="20" t="s">
        <v>49</v>
      </c>
      <c r="C13" s="65" t="s">
        <v>50</v>
      </c>
      <c r="D13" s="65"/>
      <c r="E13" s="65"/>
      <c r="F13" s="65"/>
      <c r="G13" s="65"/>
      <c r="H13" s="65"/>
      <c r="I13" s="65" t="s">
        <v>51</v>
      </c>
      <c r="J13" s="65"/>
      <c r="K13" s="65"/>
      <c r="L13" s="66" t="s">
        <v>52</v>
      </c>
      <c r="M13" s="66"/>
      <c r="N13" s="66"/>
      <c r="O13" s="66"/>
      <c r="P13" s="21" t="s">
        <v>48</v>
      </c>
      <c r="Q13" s="21" t="s">
        <v>53</v>
      </c>
      <c r="R13" s="21">
        <v>100</v>
      </c>
      <c r="S13" s="21">
        <v>100</v>
      </c>
      <c r="T13" s="21">
        <v>77.52</v>
      </c>
      <c r="U13" s="22">
        <f>77.52</f>
        <v>77.52</v>
      </c>
    </row>
    <row r="14" spans="1:22" ht="125.25" customHeight="1" thickBot="1" x14ac:dyDescent="0.25">
      <c r="A14" s="16"/>
      <c r="B14" s="20" t="s">
        <v>49</v>
      </c>
      <c r="C14" s="65" t="s">
        <v>54</v>
      </c>
      <c r="D14" s="65"/>
      <c r="E14" s="65"/>
      <c r="F14" s="65"/>
      <c r="G14" s="65"/>
      <c r="H14" s="65"/>
      <c r="I14" s="65" t="s">
        <v>55</v>
      </c>
      <c r="J14" s="65"/>
      <c r="K14" s="65"/>
      <c r="L14" s="66" t="s">
        <v>56</v>
      </c>
      <c r="M14" s="66"/>
      <c r="N14" s="66"/>
      <c r="O14" s="66"/>
      <c r="P14" s="21" t="s">
        <v>48</v>
      </c>
      <c r="Q14" s="21" t="s">
        <v>57</v>
      </c>
      <c r="R14" s="21">
        <v>100</v>
      </c>
      <c r="S14" s="21">
        <v>100</v>
      </c>
      <c r="T14" s="21">
        <v>93.47</v>
      </c>
      <c r="U14" s="22">
        <f>93.47</f>
        <v>93.47</v>
      </c>
    </row>
    <row r="15" spans="1:22" ht="14.25" customHeight="1" thickTop="1" thickBot="1" x14ac:dyDescent="0.25">
      <c r="B15" s="4" t="s">
        <v>58</v>
      </c>
      <c r="C15" s="5"/>
      <c r="D15" s="5"/>
      <c r="E15" s="5"/>
      <c r="F15" s="5"/>
      <c r="G15" s="5"/>
      <c r="H15" s="6"/>
      <c r="I15" s="6"/>
      <c r="J15" s="6"/>
      <c r="K15" s="6"/>
      <c r="L15" s="6"/>
      <c r="M15" s="6"/>
      <c r="N15" s="6"/>
      <c r="O15" s="6"/>
      <c r="P15" s="6"/>
      <c r="Q15" s="6"/>
      <c r="R15" s="6"/>
      <c r="S15" s="6"/>
      <c r="T15" s="6"/>
      <c r="U15" s="7"/>
      <c r="V15" s="23"/>
    </row>
    <row r="16" spans="1:22" ht="26.25" customHeight="1" thickTop="1" x14ac:dyDescent="0.2">
      <c r="B16" s="24"/>
      <c r="C16" s="25"/>
      <c r="D16" s="25"/>
      <c r="E16" s="25"/>
      <c r="F16" s="25"/>
      <c r="G16" s="25"/>
      <c r="H16" s="26"/>
      <c r="I16" s="26"/>
      <c r="J16" s="26"/>
      <c r="K16" s="26"/>
      <c r="L16" s="26"/>
      <c r="M16" s="26"/>
      <c r="N16" s="26"/>
      <c r="O16" s="26"/>
      <c r="P16" s="26"/>
      <c r="Q16" s="26"/>
      <c r="R16" s="27"/>
      <c r="S16" s="28" t="s">
        <v>33</v>
      </c>
      <c r="T16" s="28" t="s">
        <v>59</v>
      </c>
      <c r="U16" s="13" t="s">
        <v>60</v>
      </c>
    </row>
    <row r="17" spans="2:21" ht="33" customHeight="1" thickBot="1" x14ac:dyDescent="0.25">
      <c r="B17" s="29"/>
      <c r="C17" s="30"/>
      <c r="D17" s="30"/>
      <c r="E17" s="30"/>
      <c r="F17" s="30"/>
      <c r="G17" s="30"/>
      <c r="H17" s="31"/>
      <c r="I17" s="31"/>
      <c r="J17" s="31"/>
      <c r="K17" s="31"/>
      <c r="L17" s="31"/>
      <c r="M17" s="31"/>
      <c r="N17" s="31"/>
      <c r="O17" s="31"/>
      <c r="P17" s="31"/>
      <c r="Q17" s="31"/>
      <c r="R17" s="31"/>
      <c r="S17" s="32" t="s">
        <v>61</v>
      </c>
      <c r="T17" s="33" t="s">
        <v>61</v>
      </c>
      <c r="U17" s="33" t="s">
        <v>62</v>
      </c>
    </row>
    <row r="18" spans="2:21" ht="18" customHeight="1" thickBot="1" x14ac:dyDescent="0.25">
      <c r="B18" s="67" t="s">
        <v>63</v>
      </c>
      <c r="C18" s="68"/>
      <c r="D18" s="68"/>
      <c r="E18" s="34"/>
      <c r="F18" s="34"/>
      <c r="G18" s="34"/>
      <c r="H18" s="35"/>
      <c r="I18" s="35"/>
      <c r="J18" s="35"/>
      <c r="K18" s="35"/>
      <c r="L18" s="35"/>
      <c r="M18" s="35"/>
      <c r="N18" s="35"/>
      <c r="O18" s="35"/>
      <c r="P18" s="36"/>
      <c r="Q18" s="36"/>
      <c r="R18" s="36"/>
      <c r="S18" s="53">
        <v>273.00255399999998</v>
      </c>
      <c r="T18" s="53">
        <v>312.93143166999982</v>
      </c>
      <c r="U18" s="54">
        <f>+IF(ISERR(T18/S18*100),"N/A",ROUND(T18/S18*100,1))</f>
        <v>114.6</v>
      </c>
    </row>
    <row r="19" spans="2:21" ht="18" customHeight="1" thickBot="1" x14ac:dyDescent="0.25">
      <c r="B19" s="69" t="s">
        <v>64</v>
      </c>
      <c r="C19" s="70"/>
      <c r="D19" s="70"/>
      <c r="E19" s="37"/>
      <c r="F19" s="37"/>
      <c r="G19" s="37"/>
      <c r="H19" s="38"/>
      <c r="I19" s="38"/>
      <c r="J19" s="38"/>
      <c r="K19" s="38"/>
      <c r="L19" s="38"/>
      <c r="M19" s="38"/>
      <c r="N19" s="38"/>
      <c r="O19" s="38"/>
      <c r="P19" s="39"/>
      <c r="Q19" s="39"/>
      <c r="R19" s="39"/>
      <c r="S19" s="53">
        <v>312.93143166999982</v>
      </c>
      <c r="T19" s="53">
        <v>312.93143166999982</v>
      </c>
      <c r="U19" s="54">
        <f>+IF(ISERR(T19/S19*100),"N/A",ROUND(T19/S19*100,1))</f>
        <v>100</v>
      </c>
    </row>
    <row r="20" spans="2:21" ht="14.85" customHeight="1" thickTop="1" thickBot="1" x14ac:dyDescent="0.25">
      <c r="B20" s="4" t="s">
        <v>65</v>
      </c>
      <c r="C20" s="5"/>
      <c r="D20" s="5"/>
      <c r="E20" s="5"/>
      <c r="F20" s="5"/>
      <c r="G20" s="5"/>
      <c r="H20" s="6"/>
      <c r="I20" s="6"/>
      <c r="J20" s="6"/>
      <c r="K20" s="6"/>
      <c r="L20" s="6"/>
      <c r="M20" s="6"/>
      <c r="N20" s="6"/>
      <c r="O20" s="6"/>
      <c r="P20" s="6"/>
      <c r="Q20" s="6"/>
      <c r="R20" s="6"/>
      <c r="S20" s="6"/>
      <c r="T20" s="6"/>
      <c r="U20" s="7"/>
    </row>
    <row r="21" spans="2:21" ht="44.25" customHeight="1" thickTop="1" x14ac:dyDescent="0.2">
      <c r="B21" s="71" t="s">
        <v>66</v>
      </c>
      <c r="C21" s="72"/>
      <c r="D21" s="72"/>
      <c r="E21" s="72"/>
      <c r="F21" s="72"/>
      <c r="G21" s="72"/>
      <c r="H21" s="72"/>
      <c r="I21" s="72"/>
      <c r="J21" s="72"/>
      <c r="K21" s="72"/>
      <c r="L21" s="72"/>
      <c r="M21" s="72"/>
      <c r="N21" s="72"/>
      <c r="O21" s="72"/>
      <c r="P21" s="72"/>
      <c r="Q21" s="72"/>
      <c r="R21" s="72"/>
      <c r="S21" s="72"/>
      <c r="T21" s="72"/>
      <c r="U21" s="73"/>
    </row>
    <row r="22" spans="2:21" ht="55.5" customHeight="1" x14ac:dyDescent="0.2">
      <c r="B22" s="59" t="s">
        <v>67</v>
      </c>
      <c r="C22" s="60"/>
      <c r="D22" s="60"/>
      <c r="E22" s="60"/>
      <c r="F22" s="60"/>
      <c r="G22" s="60"/>
      <c r="H22" s="60"/>
      <c r="I22" s="60"/>
      <c r="J22" s="60"/>
      <c r="K22" s="60"/>
      <c r="L22" s="60"/>
      <c r="M22" s="60"/>
      <c r="N22" s="60"/>
      <c r="O22" s="60"/>
      <c r="P22" s="60"/>
      <c r="Q22" s="60"/>
      <c r="R22" s="60"/>
      <c r="S22" s="60"/>
      <c r="T22" s="60"/>
      <c r="U22" s="61"/>
    </row>
    <row r="23" spans="2:21" ht="55.5" customHeight="1" x14ac:dyDescent="0.2">
      <c r="B23" s="59" t="s">
        <v>68</v>
      </c>
      <c r="C23" s="60"/>
      <c r="D23" s="60"/>
      <c r="E23" s="60"/>
      <c r="F23" s="60"/>
      <c r="G23" s="60"/>
      <c r="H23" s="60"/>
      <c r="I23" s="60"/>
      <c r="J23" s="60"/>
      <c r="K23" s="60"/>
      <c r="L23" s="60"/>
      <c r="M23" s="60"/>
      <c r="N23" s="60"/>
      <c r="O23" s="60"/>
      <c r="P23" s="60"/>
      <c r="Q23" s="60"/>
      <c r="R23" s="60"/>
      <c r="S23" s="60"/>
      <c r="T23" s="60"/>
      <c r="U23" s="61"/>
    </row>
    <row r="24" spans="2:21" ht="55.5" customHeight="1" x14ac:dyDescent="0.2">
      <c r="B24" s="59" t="s">
        <v>69</v>
      </c>
      <c r="C24" s="60"/>
      <c r="D24" s="60"/>
      <c r="E24" s="60"/>
      <c r="F24" s="60"/>
      <c r="G24" s="60"/>
      <c r="H24" s="60"/>
      <c r="I24" s="60"/>
      <c r="J24" s="60"/>
      <c r="K24" s="60"/>
      <c r="L24" s="60"/>
      <c r="M24" s="60"/>
      <c r="N24" s="60"/>
      <c r="O24" s="60"/>
      <c r="P24" s="60"/>
      <c r="Q24" s="60"/>
      <c r="R24" s="60"/>
      <c r="S24" s="60"/>
      <c r="T24" s="60"/>
      <c r="U24" s="61"/>
    </row>
    <row r="25" spans="2:21" ht="55.5" customHeight="1" thickBot="1" x14ac:dyDescent="0.25">
      <c r="B25" s="62" t="s">
        <v>70</v>
      </c>
      <c r="C25" s="63"/>
      <c r="D25" s="63"/>
      <c r="E25" s="63"/>
      <c r="F25" s="63"/>
      <c r="G25" s="63"/>
      <c r="H25" s="63"/>
      <c r="I25" s="63"/>
      <c r="J25" s="63"/>
      <c r="K25" s="63"/>
      <c r="L25" s="63"/>
      <c r="M25" s="63"/>
      <c r="N25" s="63"/>
      <c r="O25" s="63"/>
      <c r="P25" s="63"/>
      <c r="Q25" s="63"/>
      <c r="R25" s="63"/>
      <c r="S25" s="63"/>
      <c r="T25" s="63"/>
      <c r="U25" s="64"/>
    </row>
  </sheetData>
  <mergeCells count="40">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B22:U22"/>
    <mergeCell ref="B23:U23"/>
    <mergeCell ref="B24:U24"/>
    <mergeCell ref="B25:U25"/>
    <mergeCell ref="C14:H14"/>
    <mergeCell ref="I14:K14"/>
    <mergeCell ref="L14:O14"/>
    <mergeCell ref="B18:D18"/>
    <mergeCell ref="B19:D19"/>
    <mergeCell ref="B21:U21"/>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56"/>
  <sheetViews>
    <sheetView zoomScaleNormal="100" zoomScaleSheetLayoutView="80" workbookViewId="0">
      <selection activeCell="V18" sqref="V18"/>
    </sheetView>
  </sheetViews>
  <sheetFormatPr baseColWidth="10" defaultColWidth="10" defaultRowHeight="12.75" x14ac:dyDescent="0.2"/>
  <cols>
    <col min="1" max="1" width="3.5" style="1" customWidth="1"/>
    <col min="2" max="2" width="14.6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8.62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4" style="1" customWidth="1"/>
    <col min="19" max="19" width="16.625" style="1" customWidth="1"/>
    <col min="20" max="20" width="14.875" style="1" customWidth="1"/>
    <col min="21" max="21" width="12.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5" t="s">
        <v>0</v>
      </c>
      <c r="C1" s="55"/>
      <c r="D1" s="55"/>
      <c r="E1" s="55"/>
      <c r="F1" s="55"/>
      <c r="G1" s="55"/>
      <c r="H1" s="55"/>
      <c r="I1" s="55"/>
      <c r="J1" s="55"/>
      <c r="K1" s="55"/>
      <c r="L1" s="55"/>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42" t="s">
        <v>6</v>
      </c>
      <c r="C4" s="43" t="s">
        <v>71</v>
      </c>
      <c r="D4" s="102" t="s">
        <v>72</v>
      </c>
      <c r="E4" s="102"/>
      <c r="F4" s="102"/>
      <c r="G4" s="102"/>
      <c r="H4" s="102"/>
      <c r="I4" s="44"/>
      <c r="J4" s="45" t="s">
        <v>9</v>
      </c>
      <c r="K4" s="46" t="s">
        <v>10</v>
      </c>
      <c r="L4" s="103" t="s">
        <v>11</v>
      </c>
      <c r="M4" s="103"/>
      <c r="N4" s="103"/>
      <c r="O4" s="103"/>
      <c r="P4" s="45" t="s">
        <v>12</v>
      </c>
      <c r="Q4" s="103" t="s">
        <v>73</v>
      </c>
      <c r="R4" s="103"/>
      <c r="S4" s="45" t="s">
        <v>14</v>
      </c>
      <c r="T4" s="103"/>
      <c r="U4" s="104"/>
    </row>
    <row r="5" spans="1:21" ht="15.75" customHeight="1" x14ac:dyDescent="0.2">
      <c r="B5" s="99" t="s">
        <v>15</v>
      </c>
      <c r="C5" s="100"/>
      <c r="D5" s="100"/>
      <c r="E5" s="100"/>
      <c r="F5" s="100"/>
      <c r="G5" s="100"/>
      <c r="H5" s="100"/>
      <c r="I5" s="100"/>
      <c r="J5" s="100"/>
      <c r="K5" s="100"/>
      <c r="L5" s="100"/>
      <c r="M5" s="100"/>
      <c r="N5" s="100"/>
      <c r="O5" s="100"/>
      <c r="P5" s="100"/>
      <c r="Q5" s="100"/>
      <c r="R5" s="100"/>
      <c r="S5" s="100"/>
      <c r="T5" s="100"/>
      <c r="U5" s="101"/>
    </row>
    <row r="6" spans="1:21" ht="60.75" customHeight="1" thickBot="1" x14ac:dyDescent="0.25">
      <c r="B6" s="47" t="s">
        <v>16</v>
      </c>
      <c r="C6" s="76" t="s">
        <v>17</v>
      </c>
      <c r="D6" s="76"/>
      <c r="E6" s="76"/>
      <c r="F6" s="76"/>
      <c r="G6" s="76"/>
      <c r="H6" s="48"/>
      <c r="I6" s="48"/>
      <c r="J6" s="48" t="s">
        <v>18</v>
      </c>
      <c r="K6" s="76" t="s">
        <v>19</v>
      </c>
      <c r="L6" s="76"/>
      <c r="M6" s="76"/>
      <c r="N6" s="49"/>
      <c r="O6" s="48" t="s">
        <v>20</v>
      </c>
      <c r="P6" s="76" t="s">
        <v>21</v>
      </c>
      <c r="Q6" s="76"/>
      <c r="R6" s="50"/>
      <c r="S6" s="48" t="s">
        <v>22</v>
      </c>
      <c r="T6" s="76" t="s">
        <v>74</v>
      </c>
      <c r="U6" s="77"/>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8" t="s">
        <v>25</v>
      </c>
      <c r="C8" s="81" t="s">
        <v>26</v>
      </c>
      <c r="D8" s="81"/>
      <c r="E8" s="81"/>
      <c r="F8" s="81"/>
      <c r="G8" s="81"/>
      <c r="H8" s="82"/>
      <c r="I8" s="87" t="s">
        <v>27</v>
      </c>
      <c r="J8" s="88"/>
      <c r="K8" s="88"/>
      <c r="L8" s="88"/>
      <c r="M8" s="88"/>
      <c r="N8" s="88"/>
      <c r="O8" s="88"/>
      <c r="P8" s="88"/>
      <c r="Q8" s="88"/>
      <c r="R8" s="88"/>
      <c r="S8" s="89"/>
      <c r="T8" s="90" t="s">
        <v>28</v>
      </c>
      <c r="U8" s="91"/>
    </row>
    <row r="9" spans="1:21" ht="19.5" customHeight="1" x14ac:dyDescent="0.2">
      <c r="B9" s="79"/>
      <c r="C9" s="83"/>
      <c r="D9" s="83"/>
      <c r="E9" s="83"/>
      <c r="F9" s="83"/>
      <c r="G9" s="83"/>
      <c r="H9" s="84"/>
      <c r="I9" s="92" t="s">
        <v>29</v>
      </c>
      <c r="J9" s="81"/>
      <c r="K9" s="81"/>
      <c r="L9" s="81" t="s">
        <v>30</v>
      </c>
      <c r="M9" s="81"/>
      <c r="N9" s="81"/>
      <c r="O9" s="81"/>
      <c r="P9" s="81" t="s">
        <v>31</v>
      </c>
      <c r="Q9" s="81" t="s">
        <v>32</v>
      </c>
      <c r="R9" s="95" t="s">
        <v>33</v>
      </c>
      <c r="S9" s="96"/>
      <c r="T9" s="81" t="s">
        <v>34</v>
      </c>
      <c r="U9" s="97" t="s">
        <v>35</v>
      </c>
    </row>
    <row r="10" spans="1:21" ht="39.75" customHeight="1" thickBot="1" x14ac:dyDescent="0.25">
      <c r="B10" s="80"/>
      <c r="C10" s="85"/>
      <c r="D10" s="85"/>
      <c r="E10" s="85"/>
      <c r="F10" s="85"/>
      <c r="G10" s="85"/>
      <c r="H10" s="86"/>
      <c r="I10" s="93"/>
      <c r="J10" s="94"/>
      <c r="K10" s="94"/>
      <c r="L10" s="94"/>
      <c r="M10" s="94"/>
      <c r="N10" s="94"/>
      <c r="O10" s="94"/>
      <c r="P10" s="94"/>
      <c r="Q10" s="94"/>
      <c r="R10" s="14" t="s">
        <v>36</v>
      </c>
      <c r="S10" s="15" t="s">
        <v>37</v>
      </c>
      <c r="T10" s="94"/>
      <c r="U10" s="98"/>
    </row>
    <row r="11" spans="1:21" ht="75" customHeight="1" thickTop="1" thickBot="1" x14ac:dyDescent="0.25">
      <c r="A11" s="16"/>
      <c r="B11" s="17" t="s">
        <v>75</v>
      </c>
      <c r="C11" s="74" t="s">
        <v>76</v>
      </c>
      <c r="D11" s="74"/>
      <c r="E11" s="74"/>
      <c r="F11" s="74"/>
      <c r="G11" s="74"/>
      <c r="H11" s="74"/>
      <c r="I11" s="74" t="s">
        <v>77</v>
      </c>
      <c r="J11" s="74"/>
      <c r="K11" s="74"/>
      <c r="L11" s="75" t="s">
        <v>78</v>
      </c>
      <c r="M11" s="75"/>
      <c r="N11" s="75"/>
      <c r="O11" s="75"/>
      <c r="P11" s="18" t="s">
        <v>48</v>
      </c>
      <c r="Q11" s="18" t="s">
        <v>79</v>
      </c>
      <c r="R11" s="18" t="s">
        <v>80</v>
      </c>
      <c r="S11" s="18" t="s">
        <v>80</v>
      </c>
      <c r="T11" s="18" t="s">
        <v>80</v>
      </c>
      <c r="U11" s="51" t="str">
        <f>"N/A"</f>
        <v>N/A</v>
      </c>
    </row>
    <row r="12" spans="1:21" ht="79.5" customHeight="1" thickTop="1" x14ac:dyDescent="0.2">
      <c r="A12" s="16"/>
      <c r="B12" s="17" t="s">
        <v>81</v>
      </c>
      <c r="C12" s="74" t="s">
        <v>82</v>
      </c>
      <c r="D12" s="74"/>
      <c r="E12" s="74"/>
      <c r="F12" s="74"/>
      <c r="G12" s="74"/>
      <c r="H12" s="74"/>
      <c r="I12" s="74" t="s">
        <v>83</v>
      </c>
      <c r="J12" s="74"/>
      <c r="K12" s="74"/>
      <c r="L12" s="75" t="s">
        <v>84</v>
      </c>
      <c r="M12" s="75"/>
      <c r="N12" s="75"/>
      <c r="O12" s="75"/>
      <c r="P12" s="18" t="s">
        <v>48</v>
      </c>
      <c r="Q12" s="18" t="s">
        <v>85</v>
      </c>
      <c r="R12" s="18">
        <v>57.25</v>
      </c>
      <c r="S12" s="18">
        <v>58.93</v>
      </c>
      <c r="T12" s="18">
        <v>67.13</v>
      </c>
      <c r="U12" s="51">
        <f>113.91</f>
        <v>113.91</v>
      </c>
    </row>
    <row r="13" spans="1:21" ht="75" customHeight="1" thickBot="1" x14ac:dyDescent="0.25">
      <c r="A13" s="16"/>
      <c r="B13" s="20" t="s">
        <v>49</v>
      </c>
      <c r="C13" s="65" t="s">
        <v>49</v>
      </c>
      <c r="D13" s="65"/>
      <c r="E13" s="65"/>
      <c r="F13" s="65"/>
      <c r="G13" s="65"/>
      <c r="H13" s="65"/>
      <c r="I13" s="65" t="s">
        <v>86</v>
      </c>
      <c r="J13" s="65"/>
      <c r="K13" s="65"/>
      <c r="L13" s="66" t="s">
        <v>87</v>
      </c>
      <c r="M13" s="66"/>
      <c r="N13" s="66"/>
      <c r="O13" s="66"/>
      <c r="P13" s="21" t="s">
        <v>48</v>
      </c>
      <c r="Q13" s="21" t="s">
        <v>85</v>
      </c>
      <c r="R13" s="21">
        <v>28.84</v>
      </c>
      <c r="S13" s="21">
        <v>28.84</v>
      </c>
      <c r="T13" s="21">
        <v>31.07</v>
      </c>
      <c r="U13" s="22">
        <f>107.73</f>
        <v>107.73</v>
      </c>
    </row>
    <row r="14" spans="1:21" ht="75" customHeight="1" thickTop="1" x14ac:dyDescent="0.2">
      <c r="A14" s="16"/>
      <c r="B14" s="17" t="s">
        <v>38</v>
      </c>
      <c r="C14" s="74" t="s">
        <v>88</v>
      </c>
      <c r="D14" s="74"/>
      <c r="E14" s="74"/>
      <c r="F14" s="74"/>
      <c r="G14" s="74"/>
      <c r="H14" s="74"/>
      <c r="I14" s="74" t="s">
        <v>89</v>
      </c>
      <c r="J14" s="74"/>
      <c r="K14" s="74"/>
      <c r="L14" s="75" t="s">
        <v>90</v>
      </c>
      <c r="M14" s="75"/>
      <c r="N14" s="75"/>
      <c r="O14" s="75"/>
      <c r="P14" s="18" t="s">
        <v>48</v>
      </c>
      <c r="Q14" s="18" t="s">
        <v>91</v>
      </c>
      <c r="R14" s="18">
        <v>59.08</v>
      </c>
      <c r="S14" s="18">
        <v>59.08</v>
      </c>
      <c r="T14" s="18">
        <v>57.92</v>
      </c>
      <c r="U14" s="51">
        <f>98.04</f>
        <v>98.04</v>
      </c>
    </row>
    <row r="15" spans="1:21" ht="75" customHeight="1" x14ac:dyDescent="0.2">
      <c r="A15" s="16"/>
      <c r="B15" s="20" t="s">
        <v>49</v>
      </c>
      <c r="C15" s="65" t="s">
        <v>49</v>
      </c>
      <c r="D15" s="65"/>
      <c r="E15" s="65"/>
      <c r="F15" s="65"/>
      <c r="G15" s="65"/>
      <c r="H15" s="65"/>
      <c r="I15" s="65" t="s">
        <v>92</v>
      </c>
      <c r="J15" s="65"/>
      <c r="K15" s="65"/>
      <c r="L15" s="66" t="s">
        <v>93</v>
      </c>
      <c r="M15" s="66"/>
      <c r="N15" s="66"/>
      <c r="O15" s="66"/>
      <c r="P15" s="21" t="s">
        <v>94</v>
      </c>
      <c r="Q15" s="21" t="s">
        <v>95</v>
      </c>
      <c r="R15" s="21">
        <v>10</v>
      </c>
      <c r="S15" s="21">
        <v>10</v>
      </c>
      <c r="T15" s="21">
        <v>7.9</v>
      </c>
      <c r="U15" s="22">
        <f>79</f>
        <v>79</v>
      </c>
    </row>
    <row r="16" spans="1:21" ht="75" customHeight="1" x14ac:dyDescent="0.2">
      <c r="A16" s="16"/>
      <c r="B16" s="20" t="s">
        <v>49</v>
      </c>
      <c r="C16" s="65" t="s">
        <v>49</v>
      </c>
      <c r="D16" s="65"/>
      <c r="E16" s="65"/>
      <c r="F16" s="65"/>
      <c r="G16" s="65"/>
      <c r="H16" s="65"/>
      <c r="I16" s="65" t="s">
        <v>96</v>
      </c>
      <c r="J16" s="65"/>
      <c r="K16" s="65"/>
      <c r="L16" s="66" t="s">
        <v>97</v>
      </c>
      <c r="M16" s="66"/>
      <c r="N16" s="66"/>
      <c r="O16" s="66"/>
      <c r="P16" s="21" t="s">
        <v>98</v>
      </c>
      <c r="Q16" s="21" t="s">
        <v>85</v>
      </c>
      <c r="R16" s="21">
        <v>13.6</v>
      </c>
      <c r="S16" s="21">
        <v>13.6</v>
      </c>
      <c r="T16" s="21">
        <v>11.8</v>
      </c>
      <c r="U16" s="22">
        <f>86.76</f>
        <v>86.76</v>
      </c>
    </row>
    <row r="17" spans="1:22" ht="75" customHeight="1" x14ac:dyDescent="0.2">
      <c r="A17" s="16"/>
      <c r="B17" s="20" t="s">
        <v>49</v>
      </c>
      <c r="C17" s="65" t="s">
        <v>49</v>
      </c>
      <c r="D17" s="65"/>
      <c r="E17" s="65"/>
      <c r="F17" s="65"/>
      <c r="G17" s="65"/>
      <c r="H17" s="65"/>
      <c r="I17" s="65" t="s">
        <v>99</v>
      </c>
      <c r="J17" s="65"/>
      <c r="K17" s="65"/>
      <c r="L17" s="66" t="s">
        <v>100</v>
      </c>
      <c r="M17" s="66"/>
      <c r="N17" s="66"/>
      <c r="O17" s="66"/>
      <c r="P17" s="21" t="s">
        <v>101</v>
      </c>
      <c r="Q17" s="21" t="s">
        <v>85</v>
      </c>
      <c r="R17" s="21">
        <v>3128331</v>
      </c>
      <c r="S17" s="21">
        <v>3128331</v>
      </c>
      <c r="T17" s="21">
        <v>3370002</v>
      </c>
      <c r="U17" s="22">
        <f>107.73</f>
        <v>107.73</v>
      </c>
    </row>
    <row r="18" spans="1:22" ht="75" customHeight="1" x14ac:dyDescent="0.2">
      <c r="A18" s="16"/>
      <c r="B18" s="20" t="s">
        <v>49</v>
      </c>
      <c r="C18" s="65" t="s">
        <v>49</v>
      </c>
      <c r="D18" s="65"/>
      <c r="E18" s="65"/>
      <c r="F18" s="65"/>
      <c r="G18" s="65"/>
      <c r="H18" s="65"/>
      <c r="I18" s="65" t="s">
        <v>102</v>
      </c>
      <c r="J18" s="65"/>
      <c r="K18" s="65"/>
      <c r="L18" s="66" t="s">
        <v>103</v>
      </c>
      <c r="M18" s="66"/>
      <c r="N18" s="66"/>
      <c r="O18" s="66"/>
      <c r="P18" s="21" t="s">
        <v>104</v>
      </c>
      <c r="Q18" s="21" t="s">
        <v>91</v>
      </c>
      <c r="R18" s="40">
        <v>6070000</v>
      </c>
      <c r="S18" s="40">
        <v>6070000</v>
      </c>
      <c r="T18" s="40">
        <v>6490248</v>
      </c>
      <c r="U18" s="22">
        <f>106.92</f>
        <v>106.92</v>
      </c>
    </row>
    <row r="19" spans="1:22" ht="75" customHeight="1" x14ac:dyDescent="0.2">
      <c r="A19" s="16"/>
      <c r="B19" s="20" t="s">
        <v>49</v>
      </c>
      <c r="C19" s="65" t="s">
        <v>49</v>
      </c>
      <c r="D19" s="65"/>
      <c r="E19" s="65"/>
      <c r="F19" s="65"/>
      <c r="G19" s="65"/>
      <c r="H19" s="65"/>
      <c r="I19" s="65" t="s">
        <v>105</v>
      </c>
      <c r="J19" s="65"/>
      <c r="K19" s="65"/>
      <c r="L19" s="66" t="s">
        <v>106</v>
      </c>
      <c r="M19" s="66"/>
      <c r="N19" s="66"/>
      <c r="O19" s="66"/>
      <c r="P19" s="21" t="s">
        <v>48</v>
      </c>
      <c r="Q19" s="21" t="s">
        <v>91</v>
      </c>
      <c r="R19" s="21">
        <v>60.23</v>
      </c>
      <c r="S19" s="21">
        <v>60.23</v>
      </c>
      <c r="T19" s="21">
        <v>60.81</v>
      </c>
      <c r="U19" s="22">
        <f>100.96</f>
        <v>100.96</v>
      </c>
    </row>
    <row r="20" spans="1:22" ht="75" customHeight="1" x14ac:dyDescent="0.2">
      <c r="A20" s="16"/>
      <c r="B20" s="20" t="s">
        <v>49</v>
      </c>
      <c r="C20" s="65" t="s">
        <v>49</v>
      </c>
      <c r="D20" s="65"/>
      <c r="E20" s="65"/>
      <c r="F20" s="65"/>
      <c r="G20" s="65"/>
      <c r="H20" s="65"/>
      <c r="I20" s="65" t="s">
        <v>107</v>
      </c>
      <c r="J20" s="65"/>
      <c r="K20" s="65"/>
      <c r="L20" s="66" t="s">
        <v>108</v>
      </c>
      <c r="M20" s="66"/>
      <c r="N20" s="66"/>
      <c r="O20" s="66"/>
      <c r="P20" s="21" t="s">
        <v>48</v>
      </c>
      <c r="Q20" s="21" t="s">
        <v>91</v>
      </c>
      <c r="R20" s="21">
        <v>16.62</v>
      </c>
      <c r="S20" s="21">
        <v>16.62</v>
      </c>
      <c r="T20" s="21">
        <v>15.78</v>
      </c>
      <c r="U20" s="22">
        <f>94.95</f>
        <v>94.95</v>
      </c>
    </row>
    <row r="21" spans="1:22" ht="75" customHeight="1" x14ac:dyDescent="0.2">
      <c r="A21" s="16"/>
      <c r="B21" s="20" t="s">
        <v>49</v>
      </c>
      <c r="C21" s="65" t="s">
        <v>49</v>
      </c>
      <c r="D21" s="65"/>
      <c r="E21" s="65"/>
      <c r="F21" s="65"/>
      <c r="G21" s="65"/>
      <c r="H21" s="65"/>
      <c r="I21" s="65" t="s">
        <v>109</v>
      </c>
      <c r="J21" s="65"/>
      <c r="K21" s="65"/>
      <c r="L21" s="66" t="s">
        <v>110</v>
      </c>
      <c r="M21" s="66"/>
      <c r="N21" s="66"/>
      <c r="O21" s="66"/>
      <c r="P21" s="21" t="s">
        <v>98</v>
      </c>
      <c r="Q21" s="21" t="s">
        <v>85</v>
      </c>
      <c r="R21" s="40">
        <v>1003069555</v>
      </c>
      <c r="S21" s="40">
        <v>1003069555</v>
      </c>
      <c r="T21" s="40">
        <v>961158535</v>
      </c>
      <c r="U21" s="22">
        <f>95.82</f>
        <v>95.82</v>
      </c>
    </row>
    <row r="22" spans="1:22" ht="75" customHeight="1" x14ac:dyDescent="0.2">
      <c r="A22" s="16"/>
      <c r="B22" s="20" t="s">
        <v>49</v>
      </c>
      <c r="C22" s="65" t="s">
        <v>49</v>
      </c>
      <c r="D22" s="65"/>
      <c r="E22" s="65"/>
      <c r="F22" s="65"/>
      <c r="G22" s="65"/>
      <c r="H22" s="65"/>
      <c r="I22" s="65" t="s">
        <v>111</v>
      </c>
      <c r="J22" s="65"/>
      <c r="K22" s="65"/>
      <c r="L22" s="66" t="s">
        <v>112</v>
      </c>
      <c r="M22" s="66"/>
      <c r="N22" s="66"/>
      <c r="O22" s="66"/>
      <c r="P22" s="21" t="s">
        <v>48</v>
      </c>
      <c r="Q22" s="21" t="s">
        <v>43</v>
      </c>
      <c r="R22" s="21">
        <v>100</v>
      </c>
      <c r="S22" s="21">
        <v>100</v>
      </c>
      <c r="T22" s="21">
        <v>106.92</v>
      </c>
      <c r="U22" s="22">
        <f>106.92</f>
        <v>106.92</v>
      </c>
    </row>
    <row r="23" spans="1:22" ht="75" customHeight="1" x14ac:dyDescent="0.2">
      <c r="A23" s="16"/>
      <c r="B23" s="20" t="s">
        <v>49</v>
      </c>
      <c r="C23" s="65" t="s">
        <v>49</v>
      </c>
      <c r="D23" s="65"/>
      <c r="E23" s="65"/>
      <c r="F23" s="65"/>
      <c r="G23" s="65"/>
      <c r="H23" s="65"/>
      <c r="I23" s="65" t="s">
        <v>113</v>
      </c>
      <c r="J23" s="65"/>
      <c r="K23" s="65"/>
      <c r="L23" s="66" t="s">
        <v>114</v>
      </c>
      <c r="M23" s="66"/>
      <c r="N23" s="66"/>
      <c r="O23" s="66"/>
      <c r="P23" s="21" t="s">
        <v>48</v>
      </c>
      <c r="Q23" s="21" t="s">
        <v>85</v>
      </c>
      <c r="R23" s="21">
        <v>100</v>
      </c>
      <c r="S23" s="21">
        <v>100</v>
      </c>
      <c r="T23" s="21">
        <v>95.82</v>
      </c>
      <c r="U23" s="22">
        <f>95.82</f>
        <v>95.82</v>
      </c>
    </row>
    <row r="24" spans="1:22" ht="75" customHeight="1" thickBot="1" x14ac:dyDescent="0.25">
      <c r="A24" s="16"/>
      <c r="B24" s="20" t="s">
        <v>49</v>
      </c>
      <c r="C24" s="65" t="s">
        <v>49</v>
      </c>
      <c r="D24" s="65"/>
      <c r="E24" s="65"/>
      <c r="F24" s="65"/>
      <c r="G24" s="65"/>
      <c r="H24" s="65"/>
      <c r="I24" s="65" t="s">
        <v>115</v>
      </c>
      <c r="J24" s="65"/>
      <c r="K24" s="65"/>
      <c r="L24" s="66" t="s">
        <v>116</v>
      </c>
      <c r="M24" s="66"/>
      <c r="N24" s="66"/>
      <c r="O24" s="66"/>
      <c r="P24" s="21" t="s">
        <v>48</v>
      </c>
      <c r="Q24" s="21" t="s">
        <v>85</v>
      </c>
      <c r="R24" s="21">
        <v>100</v>
      </c>
      <c r="S24" s="21">
        <v>100</v>
      </c>
      <c r="T24" s="21">
        <v>107.73</v>
      </c>
      <c r="U24" s="22">
        <f>107.73</f>
        <v>107.73</v>
      </c>
    </row>
    <row r="25" spans="1:22" ht="75" customHeight="1" thickTop="1" x14ac:dyDescent="0.2">
      <c r="A25" s="16"/>
      <c r="B25" s="17" t="s">
        <v>44</v>
      </c>
      <c r="C25" s="74" t="s">
        <v>117</v>
      </c>
      <c r="D25" s="74"/>
      <c r="E25" s="74"/>
      <c r="F25" s="74"/>
      <c r="G25" s="74"/>
      <c r="H25" s="74"/>
      <c r="I25" s="74" t="s">
        <v>118</v>
      </c>
      <c r="J25" s="74"/>
      <c r="K25" s="74"/>
      <c r="L25" s="75" t="s">
        <v>119</v>
      </c>
      <c r="M25" s="75"/>
      <c r="N25" s="75"/>
      <c r="O25" s="75"/>
      <c r="P25" s="18" t="s">
        <v>48</v>
      </c>
      <c r="Q25" s="18" t="s">
        <v>43</v>
      </c>
      <c r="R25" s="18">
        <v>75.42</v>
      </c>
      <c r="S25" s="18">
        <v>75.42</v>
      </c>
      <c r="T25" s="18">
        <v>73.400000000000006</v>
      </c>
      <c r="U25" s="51">
        <f>97.32</f>
        <v>97.32</v>
      </c>
    </row>
    <row r="26" spans="1:22" ht="75" customHeight="1" x14ac:dyDescent="0.2">
      <c r="A26" s="16"/>
      <c r="B26" s="20" t="s">
        <v>49</v>
      </c>
      <c r="C26" s="65" t="s">
        <v>49</v>
      </c>
      <c r="D26" s="65"/>
      <c r="E26" s="65"/>
      <c r="F26" s="65"/>
      <c r="G26" s="65"/>
      <c r="H26" s="65"/>
      <c r="I26" s="65" t="s">
        <v>120</v>
      </c>
      <c r="J26" s="65"/>
      <c r="K26" s="65"/>
      <c r="L26" s="66" t="s">
        <v>121</v>
      </c>
      <c r="M26" s="66"/>
      <c r="N26" s="66"/>
      <c r="O26" s="66"/>
      <c r="P26" s="21" t="s">
        <v>98</v>
      </c>
      <c r="Q26" s="21" t="s">
        <v>43</v>
      </c>
      <c r="R26" s="40">
        <v>1003069555</v>
      </c>
      <c r="S26" s="40">
        <v>1003069555</v>
      </c>
      <c r="T26" s="40">
        <v>951504230</v>
      </c>
      <c r="U26" s="22">
        <f>94.86</f>
        <v>94.86</v>
      </c>
    </row>
    <row r="27" spans="1:22" ht="75" customHeight="1" x14ac:dyDescent="0.2">
      <c r="A27" s="16"/>
      <c r="B27" s="20" t="s">
        <v>49</v>
      </c>
      <c r="C27" s="65" t="s">
        <v>49</v>
      </c>
      <c r="D27" s="65"/>
      <c r="E27" s="65"/>
      <c r="F27" s="65"/>
      <c r="G27" s="65"/>
      <c r="H27" s="65"/>
      <c r="I27" s="65" t="s">
        <v>122</v>
      </c>
      <c r="J27" s="65"/>
      <c r="K27" s="65"/>
      <c r="L27" s="66" t="s">
        <v>123</v>
      </c>
      <c r="M27" s="66"/>
      <c r="N27" s="66"/>
      <c r="O27" s="66"/>
      <c r="P27" s="21" t="s">
        <v>48</v>
      </c>
      <c r="Q27" s="21" t="s">
        <v>124</v>
      </c>
      <c r="R27" s="21">
        <v>95</v>
      </c>
      <c r="S27" s="21">
        <v>95</v>
      </c>
      <c r="T27" s="21">
        <v>140.68</v>
      </c>
      <c r="U27" s="22">
        <f>148.08</f>
        <v>148.08000000000001</v>
      </c>
    </row>
    <row r="28" spans="1:22" ht="75" customHeight="1" x14ac:dyDescent="0.2">
      <c r="A28" s="16"/>
      <c r="B28" s="20" t="s">
        <v>49</v>
      </c>
      <c r="C28" s="65" t="s">
        <v>49</v>
      </c>
      <c r="D28" s="65"/>
      <c r="E28" s="65"/>
      <c r="F28" s="65"/>
      <c r="G28" s="65"/>
      <c r="H28" s="65"/>
      <c r="I28" s="65" t="s">
        <v>125</v>
      </c>
      <c r="J28" s="65"/>
      <c r="K28" s="65"/>
      <c r="L28" s="66" t="s">
        <v>126</v>
      </c>
      <c r="M28" s="66"/>
      <c r="N28" s="66"/>
      <c r="O28" s="66"/>
      <c r="P28" s="21" t="s">
        <v>48</v>
      </c>
      <c r="Q28" s="21" t="s">
        <v>124</v>
      </c>
      <c r="R28" s="21">
        <v>95</v>
      </c>
      <c r="S28" s="21">
        <v>95</v>
      </c>
      <c r="T28" s="21">
        <v>104.67</v>
      </c>
      <c r="U28" s="22">
        <f>110.18</f>
        <v>110.18</v>
      </c>
    </row>
    <row r="29" spans="1:22" ht="75" customHeight="1" x14ac:dyDescent="0.2">
      <c r="A29" s="16"/>
      <c r="B29" s="20" t="s">
        <v>49</v>
      </c>
      <c r="C29" s="65" t="s">
        <v>49</v>
      </c>
      <c r="D29" s="65"/>
      <c r="E29" s="65"/>
      <c r="F29" s="65"/>
      <c r="G29" s="65"/>
      <c r="H29" s="65"/>
      <c r="I29" s="65" t="s">
        <v>127</v>
      </c>
      <c r="J29" s="65"/>
      <c r="K29" s="65"/>
      <c r="L29" s="66" t="s">
        <v>128</v>
      </c>
      <c r="M29" s="66"/>
      <c r="N29" s="66"/>
      <c r="O29" s="66"/>
      <c r="P29" s="21" t="s">
        <v>48</v>
      </c>
      <c r="Q29" s="21" t="s">
        <v>124</v>
      </c>
      <c r="R29" s="21">
        <v>95</v>
      </c>
      <c r="S29" s="21">
        <v>95</v>
      </c>
      <c r="T29" s="21">
        <v>113.33</v>
      </c>
      <c r="U29" s="22">
        <f>119.3</f>
        <v>119.3</v>
      </c>
    </row>
    <row r="30" spans="1:22" ht="75" customHeight="1" thickBot="1" x14ac:dyDescent="0.25">
      <c r="A30" s="16"/>
      <c r="B30" s="20" t="s">
        <v>49</v>
      </c>
      <c r="C30" s="65" t="s">
        <v>129</v>
      </c>
      <c r="D30" s="65"/>
      <c r="E30" s="65"/>
      <c r="F30" s="65"/>
      <c r="G30" s="65"/>
      <c r="H30" s="65"/>
      <c r="I30" s="65" t="s">
        <v>130</v>
      </c>
      <c r="J30" s="65"/>
      <c r="K30" s="65"/>
      <c r="L30" s="66" t="s">
        <v>131</v>
      </c>
      <c r="M30" s="66"/>
      <c r="N30" s="66"/>
      <c r="O30" s="66"/>
      <c r="P30" s="21" t="s">
        <v>132</v>
      </c>
      <c r="Q30" s="21" t="s">
        <v>133</v>
      </c>
      <c r="R30" s="40">
        <v>8515</v>
      </c>
      <c r="S30" s="40">
        <v>8515</v>
      </c>
      <c r="T30" s="40">
        <v>420248</v>
      </c>
      <c r="U30" s="22">
        <f>4935.38</f>
        <v>4935.38</v>
      </c>
    </row>
    <row r="31" spans="1:22" ht="14.25" customHeight="1" thickTop="1" thickBot="1" x14ac:dyDescent="0.25">
      <c r="B31" s="4" t="s">
        <v>58</v>
      </c>
      <c r="C31" s="5"/>
      <c r="D31" s="5"/>
      <c r="E31" s="5"/>
      <c r="F31" s="5"/>
      <c r="G31" s="5"/>
      <c r="H31" s="6"/>
      <c r="I31" s="6"/>
      <c r="J31" s="6"/>
      <c r="K31" s="6"/>
      <c r="L31" s="6"/>
      <c r="M31" s="6"/>
      <c r="N31" s="6"/>
      <c r="O31" s="6"/>
      <c r="P31" s="6"/>
      <c r="Q31" s="6"/>
      <c r="R31" s="6"/>
      <c r="S31" s="6"/>
      <c r="T31" s="6"/>
      <c r="U31" s="7"/>
      <c r="V31" s="23"/>
    </row>
    <row r="32" spans="1:22" ht="26.25" customHeight="1" thickTop="1" x14ac:dyDescent="0.2">
      <c r="B32" s="24"/>
      <c r="C32" s="25"/>
      <c r="D32" s="25"/>
      <c r="E32" s="25"/>
      <c r="F32" s="25"/>
      <c r="G32" s="25"/>
      <c r="H32" s="26"/>
      <c r="I32" s="26"/>
      <c r="J32" s="26"/>
      <c r="K32" s="26"/>
      <c r="L32" s="26"/>
      <c r="M32" s="26"/>
      <c r="N32" s="26"/>
      <c r="O32" s="26"/>
      <c r="P32" s="26"/>
      <c r="Q32" s="26"/>
      <c r="R32" s="27"/>
      <c r="S32" s="28" t="s">
        <v>33</v>
      </c>
      <c r="T32" s="28" t="s">
        <v>59</v>
      </c>
      <c r="U32" s="13" t="s">
        <v>60</v>
      </c>
    </row>
    <row r="33" spans="2:21" ht="26.25" customHeight="1" thickBot="1" x14ac:dyDescent="0.25">
      <c r="B33" s="29"/>
      <c r="C33" s="30"/>
      <c r="D33" s="30"/>
      <c r="E33" s="30"/>
      <c r="F33" s="30"/>
      <c r="G33" s="30"/>
      <c r="H33" s="31"/>
      <c r="I33" s="31"/>
      <c r="J33" s="31"/>
      <c r="K33" s="31"/>
      <c r="L33" s="31"/>
      <c r="M33" s="31"/>
      <c r="N33" s="31"/>
      <c r="O33" s="31"/>
      <c r="P33" s="31"/>
      <c r="Q33" s="31"/>
      <c r="R33" s="31"/>
      <c r="S33" s="32" t="s">
        <v>61</v>
      </c>
      <c r="T33" s="33" t="s">
        <v>61</v>
      </c>
      <c r="U33" s="33" t="s">
        <v>62</v>
      </c>
    </row>
    <row r="34" spans="2:21" ht="13.5" customHeight="1" thickBot="1" x14ac:dyDescent="0.25">
      <c r="B34" s="67" t="s">
        <v>63</v>
      </c>
      <c r="C34" s="68"/>
      <c r="D34" s="68"/>
      <c r="E34" s="34"/>
      <c r="F34" s="34"/>
      <c r="G34" s="34"/>
      <c r="H34" s="35"/>
      <c r="I34" s="35"/>
      <c r="J34" s="35"/>
      <c r="K34" s="35"/>
      <c r="L34" s="35"/>
      <c r="M34" s="35"/>
      <c r="N34" s="35"/>
      <c r="O34" s="35"/>
      <c r="P34" s="36"/>
      <c r="Q34" s="36"/>
      <c r="R34" s="36"/>
      <c r="S34" s="53">
        <v>1086.75</v>
      </c>
      <c r="T34" s="53">
        <v>1086.75</v>
      </c>
      <c r="U34" s="54">
        <f>+IF(ISERR(T34/S34*100),"N/A",ROUND(T34/S34*100,1))</f>
        <v>100</v>
      </c>
    </row>
    <row r="35" spans="2:21" ht="13.5" customHeight="1" thickBot="1" x14ac:dyDescent="0.25">
      <c r="B35" s="69" t="s">
        <v>64</v>
      </c>
      <c r="C35" s="70"/>
      <c r="D35" s="70"/>
      <c r="E35" s="37"/>
      <c r="F35" s="37"/>
      <c r="G35" s="37"/>
      <c r="H35" s="38"/>
      <c r="I35" s="38"/>
      <c r="J35" s="38"/>
      <c r="K35" s="38"/>
      <c r="L35" s="38"/>
      <c r="M35" s="38"/>
      <c r="N35" s="38"/>
      <c r="O35" s="38"/>
      <c r="P35" s="39"/>
      <c r="Q35" s="39"/>
      <c r="R35" s="39"/>
      <c r="S35" s="53">
        <v>1086.75</v>
      </c>
      <c r="T35" s="53">
        <v>1086.75</v>
      </c>
      <c r="U35" s="54">
        <f>+IF(ISERR(T35/S35*100),"N/A",ROUND(T35/S35*100,1))</f>
        <v>100</v>
      </c>
    </row>
    <row r="36" spans="2:21" ht="14.85" customHeight="1" thickTop="1" thickBot="1" x14ac:dyDescent="0.25">
      <c r="B36" s="4" t="s">
        <v>65</v>
      </c>
      <c r="C36" s="5"/>
      <c r="D36" s="5"/>
      <c r="E36" s="5"/>
      <c r="F36" s="5"/>
      <c r="G36" s="5"/>
      <c r="H36" s="6"/>
      <c r="I36" s="6"/>
      <c r="J36" s="6"/>
      <c r="K36" s="6"/>
      <c r="L36" s="6"/>
      <c r="M36" s="6"/>
      <c r="N36" s="6"/>
      <c r="O36" s="6"/>
      <c r="P36" s="6"/>
      <c r="Q36" s="6"/>
      <c r="R36" s="6"/>
      <c r="S36" s="6"/>
      <c r="T36" s="6"/>
      <c r="U36" s="7"/>
    </row>
    <row r="37" spans="2:21" ht="44.25" customHeight="1" thickTop="1" x14ac:dyDescent="0.2">
      <c r="B37" s="71" t="s">
        <v>66</v>
      </c>
      <c r="C37" s="72"/>
      <c r="D37" s="72"/>
      <c r="E37" s="72"/>
      <c r="F37" s="72"/>
      <c r="G37" s="72"/>
      <c r="H37" s="72"/>
      <c r="I37" s="72"/>
      <c r="J37" s="72"/>
      <c r="K37" s="72"/>
      <c r="L37" s="72"/>
      <c r="M37" s="72"/>
      <c r="N37" s="72"/>
      <c r="O37" s="72"/>
      <c r="P37" s="72"/>
      <c r="Q37" s="72"/>
      <c r="R37" s="72"/>
      <c r="S37" s="72"/>
      <c r="T37" s="72"/>
      <c r="U37" s="73"/>
    </row>
    <row r="38" spans="2:21" ht="53.25" customHeight="1" x14ac:dyDescent="0.2">
      <c r="B38" s="59" t="s">
        <v>134</v>
      </c>
      <c r="C38" s="60"/>
      <c r="D38" s="60"/>
      <c r="E38" s="60"/>
      <c r="F38" s="60"/>
      <c r="G38" s="60"/>
      <c r="H38" s="60"/>
      <c r="I38" s="60"/>
      <c r="J38" s="60"/>
      <c r="K38" s="60"/>
      <c r="L38" s="60"/>
      <c r="M38" s="60"/>
      <c r="N38" s="60"/>
      <c r="O38" s="60"/>
      <c r="P38" s="60"/>
      <c r="Q38" s="60"/>
      <c r="R38" s="60"/>
      <c r="S38" s="60"/>
      <c r="T38" s="60"/>
      <c r="U38" s="61"/>
    </row>
    <row r="39" spans="2:21" ht="53.25" customHeight="1" x14ac:dyDescent="0.2">
      <c r="B39" s="59" t="s">
        <v>135</v>
      </c>
      <c r="C39" s="60"/>
      <c r="D39" s="60"/>
      <c r="E39" s="60"/>
      <c r="F39" s="60"/>
      <c r="G39" s="60"/>
      <c r="H39" s="60"/>
      <c r="I39" s="60"/>
      <c r="J39" s="60"/>
      <c r="K39" s="60"/>
      <c r="L39" s="60"/>
      <c r="M39" s="60"/>
      <c r="N39" s="60"/>
      <c r="O39" s="60"/>
      <c r="P39" s="60"/>
      <c r="Q39" s="60"/>
      <c r="R39" s="60"/>
      <c r="S39" s="60"/>
      <c r="T39" s="60"/>
      <c r="U39" s="61"/>
    </row>
    <row r="40" spans="2:21" ht="53.25" customHeight="1" x14ac:dyDescent="0.2">
      <c r="B40" s="59" t="s">
        <v>136</v>
      </c>
      <c r="C40" s="60"/>
      <c r="D40" s="60"/>
      <c r="E40" s="60"/>
      <c r="F40" s="60"/>
      <c r="G40" s="60"/>
      <c r="H40" s="60"/>
      <c r="I40" s="60"/>
      <c r="J40" s="60"/>
      <c r="K40" s="60"/>
      <c r="L40" s="60"/>
      <c r="M40" s="60"/>
      <c r="N40" s="60"/>
      <c r="O40" s="60"/>
      <c r="P40" s="60"/>
      <c r="Q40" s="60"/>
      <c r="R40" s="60"/>
      <c r="S40" s="60"/>
      <c r="T40" s="60"/>
      <c r="U40" s="61"/>
    </row>
    <row r="41" spans="2:21" ht="53.25" customHeight="1" x14ac:dyDescent="0.2">
      <c r="B41" s="59" t="s">
        <v>137</v>
      </c>
      <c r="C41" s="60"/>
      <c r="D41" s="60"/>
      <c r="E41" s="60"/>
      <c r="F41" s="60"/>
      <c r="G41" s="60"/>
      <c r="H41" s="60"/>
      <c r="I41" s="60"/>
      <c r="J41" s="60"/>
      <c r="K41" s="60"/>
      <c r="L41" s="60"/>
      <c r="M41" s="60"/>
      <c r="N41" s="60"/>
      <c r="O41" s="60"/>
      <c r="P41" s="60"/>
      <c r="Q41" s="60"/>
      <c r="R41" s="60"/>
      <c r="S41" s="60"/>
      <c r="T41" s="60"/>
      <c r="U41" s="61"/>
    </row>
    <row r="42" spans="2:21" ht="53.25" customHeight="1" x14ac:dyDescent="0.2">
      <c r="B42" s="59" t="s">
        <v>138</v>
      </c>
      <c r="C42" s="60"/>
      <c r="D42" s="60"/>
      <c r="E42" s="60"/>
      <c r="F42" s="60"/>
      <c r="G42" s="60"/>
      <c r="H42" s="60"/>
      <c r="I42" s="60"/>
      <c r="J42" s="60"/>
      <c r="K42" s="60"/>
      <c r="L42" s="60"/>
      <c r="M42" s="60"/>
      <c r="N42" s="60"/>
      <c r="O42" s="60"/>
      <c r="P42" s="60"/>
      <c r="Q42" s="60"/>
      <c r="R42" s="60"/>
      <c r="S42" s="60"/>
      <c r="T42" s="60"/>
      <c r="U42" s="61"/>
    </row>
    <row r="43" spans="2:21" ht="53.25" customHeight="1" x14ac:dyDescent="0.2">
      <c r="B43" s="59" t="s">
        <v>139</v>
      </c>
      <c r="C43" s="60"/>
      <c r="D43" s="60"/>
      <c r="E43" s="60"/>
      <c r="F43" s="60"/>
      <c r="G43" s="60"/>
      <c r="H43" s="60"/>
      <c r="I43" s="60"/>
      <c r="J43" s="60"/>
      <c r="K43" s="60"/>
      <c r="L43" s="60"/>
      <c r="M43" s="60"/>
      <c r="N43" s="60"/>
      <c r="O43" s="60"/>
      <c r="P43" s="60"/>
      <c r="Q43" s="60"/>
      <c r="R43" s="60"/>
      <c r="S43" s="60"/>
      <c r="T43" s="60"/>
      <c r="U43" s="61"/>
    </row>
    <row r="44" spans="2:21" ht="53.25" customHeight="1" x14ac:dyDescent="0.2">
      <c r="B44" s="59" t="s">
        <v>140</v>
      </c>
      <c r="C44" s="60"/>
      <c r="D44" s="60"/>
      <c r="E44" s="60"/>
      <c r="F44" s="60"/>
      <c r="G44" s="60"/>
      <c r="H44" s="60"/>
      <c r="I44" s="60"/>
      <c r="J44" s="60"/>
      <c r="K44" s="60"/>
      <c r="L44" s="60"/>
      <c r="M44" s="60"/>
      <c r="N44" s="60"/>
      <c r="O44" s="60"/>
      <c r="P44" s="60"/>
      <c r="Q44" s="60"/>
      <c r="R44" s="60"/>
      <c r="S44" s="60"/>
      <c r="T44" s="60"/>
      <c r="U44" s="61"/>
    </row>
    <row r="45" spans="2:21" ht="53.25" customHeight="1" x14ac:dyDescent="0.2">
      <c r="B45" s="59" t="s">
        <v>141</v>
      </c>
      <c r="C45" s="60"/>
      <c r="D45" s="60"/>
      <c r="E45" s="60"/>
      <c r="F45" s="60"/>
      <c r="G45" s="60"/>
      <c r="H45" s="60"/>
      <c r="I45" s="60"/>
      <c r="J45" s="60"/>
      <c r="K45" s="60"/>
      <c r="L45" s="60"/>
      <c r="M45" s="60"/>
      <c r="N45" s="60"/>
      <c r="O45" s="60"/>
      <c r="P45" s="60"/>
      <c r="Q45" s="60"/>
      <c r="R45" s="60"/>
      <c r="S45" s="60"/>
      <c r="T45" s="60"/>
      <c r="U45" s="61"/>
    </row>
    <row r="46" spans="2:21" ht="53.25" customHeight="1" x14ac:dyDescent="0.2">
      <c r="B46" s="59" t="s">
        <v>142</v>
      </c>
      <c r="C46" s="60"/>
      <c r="D46" s="60"/>
      <c r="E46" s="60"/>
      <c r="F46" s="60"/>
      <c r="G46" s="60"/>
      <c r="H46" s="60"/>
      <c r="I46" s="60"/>
      <c r="J46" s="60"/>
      <c r="K46" s="60"/>
      <c r="L46" s="60"/>
      <c r="M46" s="60"/>
      <c r="N46" s="60"/>
      <c r="O46" s="60"/>
      <c r="P46" s="60"/>
      <c r="Q46" s="60"/>
      <c r="R46" s="60"/>
      <c r="S46" s="60"/>
      <c r="T46" s="60"/>
      <c r="U46" s="61"/>
    </row>
    <row r="47" spans="2:21" ht="53.25" customHeight="1" x14ac:dyDescent="0.2">
      <c r="B47" s="59" t="s">
        <v>143</v>
      </c>
      <c r="C47" s="60"/>
      <c r="D47" s="60"/>
      <c r="E47" s="60"/>
      <c r="F47" s="60"/>
      <c r="G47" s="60"/>
      <c r="H47" s="60"/>
      <c r="I47" s="60"/>
      <c r="J47" s="60"/>
      <c r="K47" s="60"/>
      <c r="L47" s="60"/>
      <c r="M47" s="60"/>
      <c r="N47" s="60"/>
      <c r="O47" s="60"/>
      <c r="P47" s="60"/>
      <c r="Q47" s="60"/>
      <c r="R47" s="60"/>
      <c r="S47" s="60"/>
      <c r="T47" s="60"/>
      <c r="U47" s="61"/>
    </row>
    <row r="48" spans="2:21" ht="53.25" customHeight="1" x14ac:dyDescent="0.2">
      <c r="B48" s="59" t="s">
        <v>144</v>
      </c>
      <c r="C48" s="60"/>
      <c r="D48" s="60"/>
      <c r="E48" s="60"/>
      <c r="F48" s="60"/>
      <c r="G48" s="60"/>
      <c r="H48" s="60"/>
      <c r="I48" s="60"/>
      <c r="J48" s="60"/>
      <c r="K48" s="60"/>
      <c r="L48" s="60"/>
      <c r="M48" s="60"/>
      <c r="N48" s="60"/>
      <c r="O48" s="60"/>
      <c r="P48" s="60"/>
      <c r="Q48" s="60"/>
      <c r="R48" s="60"/>
      <c r="S48" s="60"/>
      <c r="T48" s="60"/>
      <c r="U48" s="61"/>
    </row>
    <row r="49" spans="2:21" ht="53.25" customHeight="1" x14ac:dyDescent="0.2">
      <c r="B49" s="59" t="s">
        <v>145</v>
      </c>
      <c r="C49" s="60"/>
      <c r="D49" s="60"/>
      <c r="E49" s="60"/>
      <c r="F49" s="60"/>
      <c r="G49" s="60"/>
      <c r="H49" s="60"/>
      <c r="I49" s="60"/>
      <c r="J49" s="60"/>
      <c r="K49" s="60"/>
      <c r="L49" s="60"/>
      <c r="M49" s="60"/>
      <c r="N49" s="60"/>
      <c r="O49" s="60"/>
      <c r="P49" s="60"/>
      <c r="Q49" s="60"/>
      <c r="R49" s="60"/>
      <c r="S49" s="60"/>
      <c r="T49" s="60"/>
      <c r="U49" s="61"/>
    </row>
    <row r="50" spans="2:21" ht="53.25" customHeight="1" x14ac:dyDescent="0.2">
      <c r="B50" s="59" t="s">
        <v>146</v>
      </c>
      <c r="C50" s="60"/>
      <c r="D50" s="60"/>
      <c r="E50" s="60"/>
      <c r="F50" s="60"/>
      <c r="G50" s="60"/>
      <c r="H50" s="60"/>
      <c r="I50" s="60"/>
      <c r="J50" s="60"/>
      <c r="K50" s="60"/>
      <c r="L50" s="60"/>
      <c r="M50" s="60"/>
      <c r="N50" s="60"/>
      <c r="O50" s="60"/>
      <c r="P50" s="60"/>
      <c r="Q50" s="60"/>
      <c r="R50" s="60"/>
      <c r="S50" s="60"/>
      <c r="T50" s="60"/>
      <c r="U50" s="61"/>
    </row>
    <row r="51" spans="2:21" ht="57" customHeight="1" x14ac:dyDescent="0.2">
      <c r="B51" s="59" t="s">
        <v>147</v>
      </c>
      <c r="C51" s="60"/>
      <c r="D51" s="60"/>
      <c r="E51" s="60"/>
      <c r="F51" s="60"/>
      <c r="G51" s="60"/>
      <c r="H51" s="60"/>
      <c r="I51" s="60"/>
      <c r="J51" s="60"/>
      <c r="K51" s="60"/>
      <c r="L51" s="60"/>
      <c r="M51" s="60"/>
      <c r="N51" s="60"/>
      <c r="O51" s="60"/>
      <c r="P51" s="60"/>
      <c r="Q51" s="60"/>
      <c r="R51" s="60"/>
      <c r="S51" s="60"/>
      <c r="T51" s="60"/>
      <c r="U51" s="61"/>
    </row>
    <row r="52" spans="2:21" ht="57" customHeight="1" x14ac:dyDescent="0.2">
      <c r="B52" s="59" t="s">
        <v>148</v>
      </c>
      <c r="C52" s="60"/>
      <c r="D52" s="60"/>
      <c r="E52" s="60"/>
      <c r="F52" s="60"/>
      <c r="G52" s="60"/>
      <c r="H52" s="60"/>
      <c r="I52" s="60"/>
      <c r="J52" s="60"/>
      <c r="K52" s="60"/>
      <c r="L52" s="60"/>
      <c r="M52" s="60"/>
      <c r="N52" s="60"/>
      <c r="O52" s="60"/>
      <c r="P52" s="60"/>
      <c r="Q52" s="60"/>
      <c r="R52" s="60"/>
      <c r="S52" s="60"/>
      <c r="T52" s="60"/>
      <c r="U52" s="61"/>
    </row>
    <row r="53" spans="2:21" ht="57" customHeight="1" x14ac:dyDescent="0.2">
      <c r="B53" s="59" t="s">
        <v>149</v>
      </c>
      <c r="C53" s="60"/>
      <c r="D53" s="60"/>
      <c r="E53" s="60"/>
      <c r="F53" s="60"/>
      <c r="G53" s="60"/>
      <c r="H53" s="60"/>
      <c r="I53" s="60"/>
      <c r="J53" s="60"/>
      <c r="K53" s="60"/>
      <c r="L53" s="60"/>
      <c r="M53" s="60"/>
      <c r="N53" s="60"/>
      <c r="O53" s="60"/>
      <c r="P53" s="60"/>
      <c r="Q53" s="60"/>
      <c r="R53" s="60"/>
      <c r="S53" s="60"/>
      <c r="T53" s="60"/>
      <c r="U53" s="61"/>
    </row>
    <row r="54" spans="2:21" ht="68.25" customHeight="1" x14ac:dyDescent="0.2">
      <c r="B54" s="59" t="s">
        <v>150</v>
      </c>
      <c r="C54" s="60"/>
      <c r="D54" s="60"/>
      <c r="E54" s="60"/>
      <c r="F54" s="60"/>
      <c r="G54" s="60"/>
      <c r="H54" s="60"/>
      <c r="I54" s="60"/>
      <c r="J54" s="60"/>
      <c r="K54" s="60"/>
      <c r="L54" s="60"/>
      <c r="M54" s="60"/>
      <c r="N54" s="60"/>
      <c r="O54" s="60"/>
      <c r="P54" s="60"/>
      <c r="Q54" s="60"/>
      <c r="R54" s="60"/>
      <c r="S54" s="60"/>
      <c r="T54" s="60"/>
      <c r="U54" s="61"/>
    </row>
    <row r="55" spans="2:21" ht="54" customHeight="1" x14ac:dyDescent="0.2">
      <c r="B55" s="59" t="s">
        <v>151</v>
      </c>
      <c r="C55" s="60"/>
      <c r="D55" s="60"/>
      <c r="E55" s="60"/>
      <c r="F55" s="60"/>
      <c r="G55" s="60"/>
      <c r="H55" s="60"/>
      <c r="I55" s="60"/>
      <c r="J55" s="60"/>
      <c r="K55" s="60"/>
      <c r="L55" s="60"/>
      <c r="M55" s="60"/>
      <c r="N55" s="60"/>
      <c r="O55" s="60"/>
      <c r="P55" s="60"/>
      <c r="Q55" s="60"/>
      <c r="R55" s="60"/>
      <c r="S55" s="60"/>
      <c r="T55" s="60"/>
      <c r="U55" s="61"/>
    </row>
    <row r="56" spans="2:21" ht="54" customHeight="1" thickBot="1" x14ac:dyDescent="0.25">
      <c r="B56" s="62" t="s">
        <v>152</v>
      </c>
      <c r="C56" s="63"/>
      <c r="D56" s="63"/>
      <c r="E56" s="63"/>
      <c r="F56" s="63"/>
      <c r="G56" s="63"/>
      <c r="H56" s="63"/>
      <c r="I56" s="63"/>
      <c r="J56" s="63"/>
      <c r="K56" s="63"/>
      <c r="L56" s="63"/>
      <c r="M56" s="63"/>
      <c r="N56" s="63"/>
      <c r="O56" s="63"/>
      <c r="P56" s="63"/>
      <c r="Q56" s="63"/>
      <c r="R56" s="63"/>
      <c r="S56" s="63"/>
      <c r="T56" s="63"/>
      <c r="U56" s="64"/>
    </row>
  </sheetData>
  <mergeCells count="103">
    <mergeCell ref="B8:B10"/>
    <mergeCell ref="C8:H10"/>
    <mergeCell ref="I8:S8"/>
    <mergeCell ref="T8:U8"/>
    <mergeCell ref="I9:K10"/>
    <mergeCell ref="L9:O10"/>
    <mergeCell ref="B1:L1"/>
    <mergeCell ref="D4:H4"/>
    <mergeCell ref="L4:O4"/>
    <mergeCell ref="Q4:R4"/>
    <mergeCell ref="T4:U4"/>
    <mergeCell ref="B5:U5"/>
    <mergeCell ref="T9:T10"/>
    <mergeCell ref="U9:U10"/>
    <mergeCell ref="C6:G6"/>
    <mergeCell ref="K6:M6"/>
    <mergeCell ref="P6:Q6"/>
    <mergeCell ref="T6:U6"/>
    <mergeCell ref="C13:H13"/>
    <mergeCell ref="I13:K13"/>
    <mergeCell ref="L13:O13"/>
    <mergeCell ref="P9:P10"/>
    <mergeCell ref="Q9:Q10"/>
    <mergeCell ref="R9:S9"/>
    <mergeCell ref="C16:H16"/>
    <mergeCell ref="I16:K16"/>
    <mergeCell ref="L16:O16"/>
    <mergeCell ref="C11:H11"/>
    <mergeCell ref="I11:K11"/>
    <mergeCell ref="L11:O11"/>
    <mergeCell ref="C12:H12"/>
    <mergeCell ref="I12:K12"/>
    <mergeCell ref="L12:O12"/>
    <mergeCell ref="C17:H17"/>
    <mergeCell ref="I17:K17"/>
    <mergeCell ref="L17:O17"/>
    <mergeCell ref="C14:H14"/>
    <mergeCell ref="I14:K14"/>
    <mergeCell ref="L14:O14"/>
    <mergeCell ref="C15:H15"/>
    <mergeCell ref="I15:K15"/>
    <mergeCell ref="L15:O15"/>
    <mergeCell ref="C20:H20"/>
    <mergeCell ref="I20:K20"/>
    <mergeCell ref="L20:O20"/>
    <mergeCell ref="C21:H21"/>
    <mergeCell ref="I21:K21"/>
    <mergeCell ref="L21:O21"/>
    <mergeCell ref="C18:H18"/>
    <mergeCell ref="I18:K18"/>
    <mergeCell ref="L18:O18"/>
    <mergeCell ref="C19:H19"/>
    <mergeCell ref="I19:K19"/>
    <mergeCell ref="L19:O19"/>
    <mergeCell ref="C24:H24"/>
    <mergeCell ref="I24:K24"/>
    <mergeCell ref="L24:O24"/>
    <mergeCell ref="C25:H25"/>
    <mergeCell ref="I25:K25"/>
    <mergeCell ref="L25:O25"/>
    <mergeCell ref="C22:H22"/>
    <mergeCell ref="I22:K22"/>
    <mergeCell ref="L22:O22"/>
    <mergeCell ref="C23:H23"/>
    <mergeCell ref="I23:K23"/>
    <mergeCell ref="L23:O23"/>
    <mergeCell ref="C28:H28"/>
    <mergeCell ref="I28:K28"/>
    <mergeCell ref="L28:O28"/>
    <mergeCell ref="C29:H29"/>
    <mergeCell ref="I29:K29"/>
    <mergeCell ref="L29:O29"/>
    <mergeCell ref="C26:H26"/>
    <mergeCell ref="I26:K26"/>
    <mergeCell ref="L26:O26"/>
    <mergeCell ref="C27:H27"/>
    <mergeCell ref="I27:K27"/>
    <mergeCell ref="L27:O27"/>
    <mergeCell ref="B38:U38"/>
    <mergeCell ref="B39:U39"/>
    <mergeCell ref="B40:U40"/>
    <mergeCell ref="B41:U41"/>
    <mergeCell ref="B42:U42"/>
    <mergeCell ref="C30:H30"/>
    <mergeCell ref="I30:K30"/>
    <mergeCell ref="L30:O30"/>
    <mergeCell ref="B34:D34"/>
    <mergeCell ref="B35:D35"/>
    <mergeCell ref="B37:U37"/>
    <mergeCell ref="B55:U55"/>
    <mergeCell ref="B56:U56"/>
    <mergeCell ref="B49:U49"/>
    <mergeCell ref="B50:U50"/>
    <mergeCell ref="B51:U51"/>
    <mergeCell ref="B52:U52"/>
    <mergeCell ref="B53:U53"/>
    <mergeCell ref="B54:U54"/>
    <mergeCell ref="B43:U43"/>
    <mergeCell ref="B44:U44"/>
    <mergeCell ref="B45:U45"/>
    <mergeCell ref="B46:U46"/>
    <mergeCell ref="B47:U47"/>
    <mergeCell ref="B48:U48"/>
  </mergeCells>
  <printOptions horizontalCentered="1"/>
  <pageMargins left="0.78740157480314965" right="0.78740157480314965" top="0.98425196850393704" bottom="0.98425196850393704" header="0" footer="0.39370078740157483"/>
  <pageSetup scale="57" fitToHeight="10" orientation="landscape" r:id="rId1"/>
  <headerFooter>
    <oddFooter>&amp;R&amp;P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56"/>
  <sheetViews>
    <sheetView topLeftCell="A25" zoomScale="90" zoomScaleNormal="90" zoomScaleSheetLayoutView="80" workbookViewId="0">
      <selection activeCell="S1" sqref="S1"/>
    </sheetView>
  </sheetViews>
  <sheetFormatPr baseColWidth="10" defaultColWidth="10" defaultRowHeight="12.75" x14ac:dyDescent="0.2"/>
  <cols>
    <col min="1" max="1" width="3.5" style="1" customWidth="1"/>
    <col min="2" max="2" width="14.6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8.62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3" style="1" customWidth="1"/>
    <col min="19" max="19" width="17" style="1" customWidth="1"/>
    <col min="20" max="20" width="16.125" style="1" customWidth="1"/>
    <col min="21" max="21" width="12.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5" t="s">
        <v>0</v>
      </c>
      <c r="C1" s="55"/>
      <c r="D1" s="55"/>
      <c r="E1" s="55"/>
      <c r="F1" s="55"/>
      <c r="G1" s="55"/>
      <c r="H1" s="55"/>
      <c r="I1" s="55"/>
      <c r="J1" s="55"/>
      <c r="K1" s="55"/>
      <c r="L1" s="55"/>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42" t="s">
        <v>6</v>
      </c>
      <c r="C4" s="43" t="s">
        <v>153</v>
      </c>
      <c r="D4" s="102" t="s">
        <v>154</v>
      </c>
      <c r="E4" s="102"/>
      <c r="F4" s="102"/>
      <c r="G4" s="102"/>
      <c r="H4" s="102"/>
      <c r="I4" s="44"/>
      <c r="J4" s="45" t="s">
        <v>9</v>
      </c>
      <c r="K4" s="46" t="s">
        <v>10</v>
      </c>
      <c r="L4" s="103" t="s">
        <v>11</v>
      </c>
      <c r="M4" s="103"/>
      <c r="N4" s="103"/>
      <c r="O4" s="103"/>
      <c r="P4" s="45" t="s">
        <v>12</v>
      </c>
      <c r="Q4" s="103" t="s">
        <v>155</v>
      </c>
      <c r="R4" s="103"/>
      <c r="S4" s="45" t="s">
        <v>14</v>
      </c>
      <c r="T4" s="103" t="s">
        <v>156</v>
      </c>
      <c r="U4" s="104"/>
    </row>
    <row r="5" spans="1:21" ht="15.75" customHeight="1" x14ac:dyDescent="0.2">
      <c r="B5" s="99" t="s">
        <v>15</v>
      </c>
      <c r="C5" s="100"/>
      <c r="D5" s="100"/>
      <c r="E5" s="100"/>
      <c r="F5" s="100"/>
      <c r="G5" s="100"/>
      <c r="H5" s="100"/>
      <c r="I5" s="100"/>
      <c r="J5" s="100"/>
      <c r="K5" s="100"/>
      <c r="L5" s="100"/>
      <c r="M5" s="100"/>
      <c r="N5" s="100"/>
      <c r="O5" s="100"/>
      <c r="P5" s="100"/>
      <c r="Q5" s="100"/>
      <c r="R5" s="100"/>
      <c r="S5" s="100"/>
      <c r="T5" s="100"/>
      <c r="U5" s="101"/>
    </row>
    <row r="6" spans="1:21" ht="55.5" customHeight="1" thickBot="1" x14ac:dyDescent="0.25">
      <c r="B6" s="47" t="s">
        <v>16</v>
      </c>
      <c r="C6" s="76" t="s">
        <v>17</v>
      </c>
      <c r="D6" s="76"/>
      <c r="E6" s="76"/>
      <c r="F6" s="76"/>
      <c r="G6" s="76"/>
      <c r="H6" s="48"/>
      <c r="I6" s="48"/>
      <c r="J6" s="48" t="s">
        <v>18</v>
      </c>
      <c r="K6" s="76" t="s">
        <v>19</v>
      </c>
      <c r="L6" s="76"/>
      <c r="M6" s="76"/>
      <c r="N6" s="49"/>
      <c r="O6" s="48" t="s">
        <v>20</v>
      </c>
      <c r="P6" s="76" t="s">
        <v>21</v>
      </c>
      <c r="Q6" s="76"/>
      <c r="R6" s="50"/>
      <c r="S6" s="48" t="s">
        <v>22</v>
      </c>
      <c r="T6" s="76" t="s">
        <v>157</v>
      </c>
      <c r="U6" s="77"/>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8" t="s">
        <v>25</v>
      </c>
      <c r="C8" s="81" t="s">
        <v>26</v>
      </c>
      <c r="D8" s="81"/>
      <c r="E8" s="81"/>
      <c r="F8" s="81"/>
      <c r="G8" s="81"/>
      <c r="H8" s="82"/>
      <c r="I8" s="87" t="s">
        <v>27</v>
      </c>
      <c r="J8" s="88"/>
      <c r="K8" s="88"/>
      <c r="L8" s="88"/>
      <c r="M8" s="88"/>
      <c r="N8" s="88"/>
      <c r="O8" s="88"/>
      <c r="P8" s="88"/>
      <c r="Q8" s="88"/>
      <c r="R8" s="88"/>
      <c r="S8" s="89"/>
      <c r="T8" s="90" t="s">
        <v>28</v>
      </c>
      <c r="U8" s="91"/>
    </row>
    <row r="9" spans="1:21" ht="19.5" customHeight="1" x14ac:dyDescent="0.2">
      <c r="B9" s="79"/>
      <c r="C9" s="83"/>
      <c r="D9" s="83"/>
      <c r="E9" s="83"/>
      <c r="F9" s="83"/>
      <c r="G9" s="83"/>
      <c r="H9" s="84"/>
      <c r="I9" s="92" t="s">
        <v>29</v>
      </c>
      <c r="J9" s="81"/>
      <c r="K9" s="81"/>
      <c r="L9" s="81" t="s">
        <v>30</v>
      </c>
      <c r="M9" s="81"/>
      <c r="N9" s="81"/>
      <c r="O9" s="81"/>
      <c r="P9" s="81" t="s">
        <v>31</v>
      </c>
      <c r="Q9" s="81" t="s">
        <v>32</v>
      </c>
      <c r="R9" s="95" t="s">
        <v>33</v>
      </c>
      <c r="S9" s="96"/>
      <c r="T9" s="81" t="s">
        <v>34</v>
      </c>
      <c r="U9" s="97" t="s">
        <v>35</v>
      </c>
    </row>
    <row r="10" spans="1:21" ht="26.25" customHeight="1" thickBot="1" x14ac:dyDescent="0.25">
      <c r="B10" s="80"/>
      <c r="C10" s="85"/>
      <c r="D10" s="85"/>
      <c r="E10" s="85"/>
      <c r="F10" s="85"/>
      <c r="G10" s="85"/>
      <c r="H10" s="86"/>
      <c r="I10" s="93"/>
      <c r="J10" s="94"/>
      <c r="K10" s="94"/>
      <c r="L10" s="94"/>
      <c r="M10" s="94"/>
      <c r="N10" s="94"/>
      <c r="O10" s="94"/>
      <c r="P10" s="94"/>
      <c r="Q10" s="94"/>
      <c r="R10" s="14" t="s">
        <v>36</v>
      </c>
      <c r="S10" s="15" t="s">
        <v>37</v>
      </c>
      <c r="T10" s="94"/>
      <c r="U10" s="98"/>
    </row>
    <row r="11" spans="1:21" ht="126.75" customHeight="1" thickTop="1" thickBot="1" x14ac:dyDescent="0.25">
      <c r="A11" s="16"/>
      <c r="B11" s="17" t="s">
        <v>75</v>
      </c>
      <c r="C11" s="74" t="s">
        <v>158</v>
      </c>
      <c r="D11" s="74"/>
      <c r="E11" s="74"/>
      <c r="F11" s="74"/>
      <c r="G11" s="74"/>
      <c r="H11" s="74"/>
      <c r="I11" s="74" t="s">
        <v>159</v>
      </c>
      <c r="J11" s="74"/>
      <c r="K11" s="74"/>
      <c r="L11" s="74" t="s">
        <v>160</v>
      </c>
      <c r="M11" s="74"/>
      <c r="N11" s="74"/>
      <c r="O11" s="74"/>
      <c r="P11" s="18" t="s">
        <v>48</v>
      </c>
      <c r="Q11" s="18" t="s">
        <v>161</v>
      </c>
      <c r="R11" s="18" t="s">
        <v>80</v>
      </c>
      <c r="S11" s="18">
        <v>31</v>
      </c>
      <c r="T11" s="18" t="s">
        <v>80</v>
      </c>
      <c r="U11" s="51">
        <v>0</v>
      </c>
    </row>
    <row r="12" spans="1:21" ht="82.5" customHeight="1" thickTop="1" x14ac:dyDescent="0.2">
      <c r="A12" s="16"/>
      <c r="B12" s="17" t="s">
        <v>81</v>
      </c>
      <c r="C12" s="74" t="s">
        <v>162</v>
      </c>
      <c r="D12" s="74"/>
      <c r="E12" s="74"/>
      <c r="F12" s="74"/>
      <c r="G12" s="74"/>
      <c r="H12" s="74"/>
      <c r="I12" s="74" t="s">
        <v>163</v>
      </c>
      <c r="J12" s="74"/>
      <c r="K12" s="74"/>
      <c r="L12" s="74" t="s">
        <v>164</v>
      </c>
      <c r="M12" s="74"/>
      <c r="N12" s="74"/>
      <c r="O12" s="74"/>
      <c r="P12" s="18" t="s">
        <v>48</v>
      </c>
      <c r="Q12" s="18" t="s">
        <v>165</v>
      </c>
      <c r="R12" s="18">
        <v>57.07</v>
      </c>
      <c r="S12" s="18">
        <v>55.02</v>
      </c>
      <c r="T12" s="18">
        <v>57.04</v>
      </c>
      <c r="U12" s="51">
        <f>103.67</f>
        <v>103.67</v>
      </c>
    </row>
    <row r="13" spans="1:21" ht="117.75" customHeight="1" x14ac:dyDescent="0.2">
      <c r="A13" s="16"/>
      <c r="B13" s="20" t="s">
        <v>49</v>
      </c>
      <c r="C13" s="65" t="s">
        <v>49</v>
      </c>
      <c r="D13" s="65"/>
      <c r="E13" s="65"/>
      <c r="F13" s="65"/>
      <c r="G13" s="65"/>
      <c r="H13" s="65"/>
      <c r="I13" s="65" t="s">
        <v>166</v>
      </c>
      <c r="J13" s="65"/>
      <c r="K13" s="65"/>
      <c r="L13" s="65" t="s">
        <v>167</v>
      </c>
      <c r="M13" s="65"/>
      <c r="N13" s="65"/>
      <c r="O13" s="65"/>
      <c r="P13" s="21" t="s">
        <v>48</v>
      </c>
      <c r="Q13" s="21" t="s">
        <v>165</v>
      </c>
      <c r="R13" s="21">
        <v>41</v>
      </c>
      <c r="S13" s="21">
        <v>41</v>
      </c>
      <c r="T13" s="21">
        <v>20.75</v>
      </c>
      <c r="U13" s="22">
        <f>50.61</f>
        <v>50.61</v>
      </c>
    </row>
    <row r="14" spans="1:21" ht="75" customHeight="1" thickBot="1" x14ac:dyDescent="0.25">
      <c r="A14" s="16"/>
      <c r="B14" s="20" t="s">
        <v>49</v>
      </c>
      <c r="C14" s="65" t="s">
        <v>49</v>
      </c>
      <c r="D14" s="65"/>
      <c r="E14" s="65"/>
      <c r="F14" s="65"/>
      <c r="G14" s="65"/>
      <c r="H14" s="65"/>
      <c r="I14" s="65" t="s">
        <v>168</v>
      </c>
      <c r="J14" s="65"/>
      <c r="K14" s="65"/>
      <c r="L14" s="65" t="s">
        <v>169</v>
      </c>
      <c r="M14" s="65"/>
      <c r="N14" s="65"/>
      <c r="O14" s="65"/>
      <c r="P14" s="21" t="s">
        <v>48</v>
      </c>
      <c r="Q14" s="21" t="s">
        <v>170</v>
      </c>
      <c r="R14" s="21">
        <v>15</v>
      </c>
      <c r="S14" s="21">
        <v>15</v>
      </c>
      <c r="T14" s="21">
        <v>23.37</v>
      </c>
      <c r="U14" s="22">
        <f>155.8</f>
        <v>155.80000000000001</v>
      </c>
    </row>
    <row r="15" spans="1:21" ht="75" customHeight="1" thickTop="1" x14ac:dyDescent="0.2">
      <c r="A15" s="16"/>
      <c r="B15" s="17" t="s">
        <v>38</v>
      </c>
      <c r="C15" s="74" t="s">
        <v>171</v>
      </c>
      <c r="D15" s="74"/>
      <c r="E15" s="74"/>
      <c r="F15" s="74"/>
      <c r="G15" s="74"/>
      <c r="H15" s="74"/>
      <c r="I15" s="74" t="s">
        <v>172</v>
      </c>
      <c r="J15" s="74"/>
      <c r="K15" s="74"/>
      <c r="L15" s="74" t="s">
        <v>173</v>
      </c>
      <c r="M15" s="74"/>
      <c r="N15" s="74"/>
      <c r="O15" s="74"/>
      <c r="P15" s="18" t="s">
        <v>174</v>
      </c>
      <c r="Q15" s="18" t="s">
        <v>85</v>
      </c>
      <c r="R15" s="41">
        <v>23580</v>
      </c>
      <c r="S15" s="41">
        <v>24079</v>
      </c>
      <c r="T15" s="41">
        <v>24089</v>
      </c>
      <c r="U15" s="51">
        <f>100.04</f>
        <v>100.04</v>
      </c>
    </row>
    <row r="16" spans="1:21" ht="75" customHeight="1" x14ac:dyDescent="0.2">
      <c r="A16" s="16"/>
      <c r="B16" s="20" t="s">
        <v>49</v>
      </c>
      <c r="C16" s="65" t="s">
        <v>49</v>
      </c>
      <c r="D16" s="65"/>
      <c r="E16" s="65"/>
      <c r="F16" s="65"/>
      <c r="G16" s="65"/>
      <c r="H16" s="65"/>
      <c r="I16" s="65" t="s">
        <v>175</v>
      </c>
      <c r="J16" s="65"/>
      <c r="K16" s="65"/>
      <c r="L16" s="65" t="s">
        <v>176</v>
      </c>
      <c r="M16" s="65"/>
      <c r="N16" s="65"/>
      <c r="O16" s="65"/>
      <c r="P16" s="21" t="s">
        <v>48</v>
      </c>
      <c r="Q16" s="21" t="s">
        <v>177</v>
      </c>
      <c r="R16" s="21">
        <v>54.9</v>
      </c>
      <c r="S16" s="21">
        <v>54.9</v>
      </c>
      <c r="T16" s="21">
        <v>52.84</v>
      </c>
      <c r="U16" s="22">
        <f>96.27</f>
        <v>96.27</v>
      </c>
    </row>
    <row r="17" spans="1:22" ht="75" customHeight="1" x14ac:dyDescent="0.2">
      <c r="A17" s="16"/>
      <c r="B17" s="20" t="s">
        <v>49</v>
      </c>
      <c r="C17" s="65" t="s">
        <v>49</v>
      </c>
      <c r="D17" s="65"/>
      <c r="E17" s="65"/>
      <c r="F17" s="65"/>
      <c r="G17" s="65"/>
      <c r="H17" s="65"/>
      <c r="I17" s="65" t="s">
        <v>178</v>
      </c>
      <c r="J17" s="65"/>
      <c r="K17" s="65"/>
      <c r="L17" s="65" t="s">
        <v>179</v>
      </c>
      <c r="M17" s="65"/>
      <c r="N17" s="65"/>
      <c r="O17" s="65"/>
      <c r="P17" s="21" t="s">
        <v>94</v>
      </c>
      <c r="Q17" s="21" t="s">
        <v>180</v>
      </c>
      <c r="R17" s="21" t="s">
        <v>80</v>
      </c>
      <c r="S17" s="40">
        <v>1190434668</v>
      </c>
      <c r="T17" s="40">
        <v>1689371533.6900001</v>
      </c>
      <c r="U17" s="22">
        <f>141.91</f>
        <v>141.91</v>
      </c>
    </row>
    <row r="18" spans="1:22" ht="75" customHeight="1" x14ac:dyDescent="0.2">
      <c r="A18" s="16"/>
      <c r="B18" s="20" t="s">
        <v>49</v>
      </c>
      <c r="C18" s="65" t="s">
        <v>181</v>
      </c>
      <c r="D18" s="65"/>
      <c r="E18" s="65"/>
      <c r="F18" s="65"/>
      <c r="G18" s="65"/>
      <c r="H18" s="65"/>
      <c r="I18" s="65" t="s">
        <v>182</v>
      </c>
      <c r="J18" s="65"/>
      <c r="K18" s="65"/>
      <c r="L18" s="65" t="s">
        <v>183</v>
      </c>
      <c r="M18" s="65"/>
      <c r="N18" s="65"/>
      <c r="O18" s="65"/>
      <c r="P18" s="21" t="s">
        <v>48</v>
      </c>
      <c r="Q18" s="21" t="s">
        <v>170</v>
      </c>
      <c r="R18" s="21" t="s">
        <v>80</v>
      </c>
      <c r="S18" s="21">
        <v>92.05</v>
      </c>
      <c r="T18" s="21">
        <v>100</v>
      </c>
      <c r="U18" s="22">
        <f>108.64</f>
        <v>108.64</v>
      </c>
    </row>
    <row r="19" spans="1:22" ht="75" customHeight="1" x14ac:dyDescent="0.2">
      <c r="A19" s="16"/>
      <c r="B19" s="20" t="s">
        <v>49</v>
      </c>
      <c r="C19" s="65" t="s">
        <v>184</v>
      </c>
      <c r="D19" s="65"/>
      <c r="E19" s="65"/>
      <c r="F19" s="65"/>
      <c r="G19" s="65"/>
      <c r="H19" s="65"/>
      <c r="I19" s="65" t="s">
        <v>185</v>
      </c>
      <c r="J19" s="65"/>
      <c r="K19" s="65"/>
      <c r="L19" s="65" t="s">
        <v>173</v>
      </c>
      <c r="M19" s="65"/>
      <c r="N19" s="65"/>
      <c r="O19" s="65"/>
      <c r="P19" s="21" t="s">
        <v>174</v>
      </c>
      <c r="Q19" s="21" t="s">
        <v>85</v>
      </c>
      <c r="R19" s="40" t="s">
        <v>80</v>
      </c>
      <c r="S19" s="40">
        <v>24079</v>
      </c>
      <c r="T19" s="40">
        <v>24089</v>
      </c>
      <c r="U19" s="22">
        <f>100.04</f>
        <v>100.04</v>
      </c>
    </row>
    <row r="20" spans="1:22" ht="75" customHeight="1" thickBot="1" x14ac:dyDescent="0.25">
      <c r="A20" s="16"/>
      <c r="B20" s="20" t="s">
        <v>49</v>
      </c>
      <c r="C20" s="65" t="s">
        <v>49</v>
      </c>
      <c r="D20" s="65"/>
      <c r="E20" s="65"/>
      <c r="F20" s="65"/>
      <c r="G20" s="65"/>
      <c r="H20" s="65"/>
      <c r="I20" s="65" t="s">
        <v>186</v>
      </c>
      <c r="J20" s="65"/>
      <c r="K20" s="65"/>
      <c r="L20" s="65" t="s">
        <v>187</v>
      </c>
      <c r="M20" s="65"/>
      <c r="N20" s="65"/>
      <c r="O20" s="65"/>
      <c r="P20" s="21" t="s">
        <v>174</v>
      </c>
      <c r="Q20" s="21" t="s">
        <v>85</v>
      </c>
      <c r="R20" s="40" t="s">
        <v>80</v>
      </c>
      <c r="S20" s="40">
        <v>13933</v>
      </c>
      <c r="T20" s="40">
        <v>14445</v>
      </c>
      <c r="U20" s="22">
        <f>103.23</f>
        <v>103.23</v>
      </c>
    </row>
    <row r="21" spans="1:22" ht="75" customHeight="1" thickTop="1" x14ac:dyDescent="0.2">
      <c r="A21" s="16"/>
      <c r="B21" s="17" t="s">
        <v>44</v>
      </c>
      <c r="C21" s="74" t="s">
        <v>188</v>
      </c>
      <c r="D21" s="74"/>
      <c r="E21" s="74"/>
      <c r="F21" s="74"/>
      <c r="G21" s="74"/>
      <c r="H21" s="74"/>
      <c r="I21" s="74" t="s">
        <v>189</v>
      </c>
      <c r="J21" s="74"/>
      <c r="K21" s="74"/>
      <c r="L21" s="74" t="s">
        <v>190</v>
      </c>
      <c r="M21" s="74"/>
      <c r="N21" s="74"/>
      <c r="O21" s="74"/>
      <c r="P21" s="18" t="s">
        <v>48</v>
      </c>
      <c r="Q21" s="18" t="s">
        <v>91</v>
      </c>
      <c r="R21" s="18">
        <v>100</v>
      </c>
      <c r="S21" s="18">
        <v>100</v>
      </c>
      <c r="T21" s="18">
        <v>100</v>
      </c>
      <c r="U21" s="51">
        <f>100</f>
        <v>100</v>
      </c>
    </row>
    <row r="22" spans="1:22" ht="75" customHeight="1" x14ac:dyDescent="0.2">
      <c r="A22" s="16"/>
      <c r="B22" s="20" t="s">
        <v>49</v>
      </c>
      <c r="C22" s="65" t="s">
        <v>191</v>
      </c>
      <c r="D22" s="65"/>
      <c r="E22" s="65"/>
      <c r="F22" s="65"/>
      <c r="G22" s="65"/>
      <c r="H22" s="65"/>
      <c r="I22" s="65" t="s">
        <v>192</v>
      </c>
      <c r="J22" s="65"/>
      <c r="K22" s="65"/>
      <c r="L22" s="65" t="s">
        <v>193</v>
      </c>
      <c r="M22" s="65"/>
      <c r="N22" s="65"/>
      <c r="O22" s="65"/>
      <c r="P22" s="21" t="s">
        <v>48</v>
      </c>
      <c r="Q22" s="21" t="s">
        <v>91</v>
      </c>
      <c r="R22" s="21">
        <v>100</v>
      </c>
      <c r="S22" s="21">
        <v>100</v>
      </c>
      <c r="T22" s="21">
        <v>93.46</v>
      </c>
      <c r="U22" s="22">
        <f>93.46</f>
        <v>93.46</v>
      </c>
    </row>
    <row r="23" spans="1:22" ht="75" customHeight="1" x14ac:dyDescent="0.2">
      <c r="A23" s="16"/>
      <c r="B23" s="20" t="s">
        <v>49</v>
      </c>
      <c r="C23" s="65" t="s">
        <v>194</v>
      </c>
      <c r="D23" s="65"/>
      <c r="E23" s="65"/>
      <c r="F23" s="65"/>
      <c r="G23" s="65"/>
      <c r="H23" s="65"/>
      <c r="I23" s="65" t="s">
        <v>195</v>
      </c>
      <c r="J23" s="65"/>
      <c r="K23" s="65"/>
      <c r="L23" s="65" t="s">
        <v>196</v>
      </c>
      <c r="M23" s="65"/>
      <c r="N23" s="65"/>
      <c r="O23" s="65"/>
      <c r="P23" s="21" t="s">
        <v>94</v>
      </c>
      <c r="Q23" s="21" t="s">
        <v>43</v>
      </c>
      <c r="R23" s="21">
        <v>109293.24</v>
      </c>
      <c r="S23" s="21">
        <v>106120.9</v>
      </c>
      <c r="T23" s="21">
        <v>105729.28</v>
      </c>
      <c r="U23" s="22">
        <f>100.37</f>
        <v>100.37</v>
      </c>
    </row>
    <row r="24" spans="1:22" ht="75" customHeight="1" x14ac:dyDescent="0.2">
      <c r="A24" s="16"/>
      <c r="B24" s="20" t="s">
        <v>49</v>
      </c>
      <c r="C24" s="65" t="s">
        <v>49</v>
      </c>
      <c r="D24" s="65"/>
      <c r="E24" s="65"/>
      <c r="F24" s="65"/>
      <c r="G24" s="65"/>
      <c r="H24" s="65"/>
      <c r="I24" s="65" t="s">
        <v>197</v>
      </c>
      <c r="J24" s="65"/>
      <c r="K24" s="65"/>
      <c r="L24" s="65" t="s">
        <v>198</v>
      </c>
      <c r="M24" s="65"/>
      <c r="N24" s="65"/>
      <c r="O24" s="65"/>
      <c r="P24" s="21" t="s">
        <v>48</v>
      </c>
      <c r="Q24" s="21" t="s">
        <v>91</v>
      </c>
      <c r="R24" s="21">
        <v>85.2</v>
      </c>
      <c r="S24" s="21">
        <v>85.2</v>
      </c>
      <c r="T24" s="21">
        <v>84.43</v>
      </c>
      <c r="U24" s="22">
        <f>99.1</f>
        <v>99.1</v>
      </c>
    </row>
    <row r="25" spans="1:22" ht="75" customHeight="1" x14ac:dyDescent="0.2">
      <c r="A25" s="16"/>
      <c r="B25" s="20" t="s">
        <v>49</v>
      </c>
      <c r="C25" s="65" t="s">
        <v>199</v>
      </c>
      <c r="D25" s="65"/>
      <c r="E25" s="65"/>
      <c r="F25" s="65"/>
      <c r="G25" s="65"/>
      <c r="H25" s="65"/>
      <c r="I25" s="65" t="s">
        <v>200</v>
      </c>
      <c r="J25" s="65"/>
      <c r="K25" s="65"/>
      <c r="L25" s="65" t="s">
        <v>201</v>
      </c>
      <c r="M25" s="65"/>
      <c r="N25" s="65"/>
      <c r="O25" s="65"/>
      <c r="P25" s="21" t="s">
        <v>94</v>
      </c>
      <c r="Q25" s="21" t="s">
        <v>91</v>
      </c>
      <c r="R25" s="21">
        <v>399165.37</v>
      </c>
      <c r="S25" s="21">
        <v>387921</v>
      </c>
      <c r="T25" s="21">
        <v>359379.04</v>
      </c>
      <c r="U25" s="22">
        <f>92.64</f>
        <v>92.64</v>
      </c>
    </row>
    <row r="26" spans="1:22" ht="75" customHeight="1" x14ac:dyDescent="0.2">
      <c r="A26" s="16"/>
      <c r="B26" s="20" t="s">
        <v>49</v>
      </c>
      <c r="C26" s="65" t="s">
        <v>202</v>
      </c>
      <c r="D26" s="65"/>
      <c r="E26" s="65"/>
      <c r="F26" s="65"/>
      <c r="G26" s="65"/>
      <c r="H26" s="65"/>
      <c r="I26" s="65" t="s">
        <v>203</v>
      </c>
      <c r="J26" s="65"/>
      <c r="K26" s="65"/>
      <c r="L26" s="65" t="s">
        <v>204</v>
      </c>
      <c r="M26" s="65"/>
      <c r="N26" s="65"/>
      <c r="O26" s="65"/>
      <c r="P26" s="21" t="s">
        <v>48</v>
      </c>
      <c r="Q26" s="21" t="s">
        <v>91</v>
      </c>
      <c r="R26" s="21">
        <v>100</v>
      </c>
      <c r="S26" s="21">
        <v>100</v>
      </c>
      <c r="T26" s="21">
        <v>100.42</v>
      </c>
      <c r="U26" s="22">
        <f>100.42</f>
        <v>100.42</v>
      </c>
    </row>
    <row r="27" spans="1:22" ht="75" customHeight="1" x14ac:dyDescent="0.2">
      <c r="A27" s="16"/>
      <c r="B27" s="20" t="s">
        <v>49</v>
      </c>
      <c r="C27" s="65" t="s">
        <v>205</v>
      </c>
      <c r="D27" s="65"/>
      <c r="E27" s="65"/>
      <c r="F27" s="65"/>
      <c r="G27" s="65"/>
      <c r="H27" s="65"/>
      <c r="I27" s="65" t="s">
        <v>206</v>
      </c>
      <c r="J27" s="65"/>
      <c r="K27" s="65"/>
      <c r="L27" s="65" t="s">
        <v>207</v>
      </c>
      <c r="M27" s="65"/>
      <c r="N27" s="65"/>
      <c r="O27" s="65"/>
      <c r="P27" s="21" t="s">
        <v>48</v>
      </c>
      <c r="Q27" s="21" t="s">
        <v>91</v>
      </c>
      <c r="R27" s="21">
        <v>93.5</v>
      </c>
      <c r="S27" s="21">
        <v>90.8</v>
      </c>
      <c r="T27" s="21">
        <v>88.36</v>
      </c>
      <c r="U27" s="22">
        <f>97.31</f>
        <v>97.31</v>
      </c>
    </row>
    <row r="28" spans="1:22" ht="75" customHeight="1" x14ac:dyDescent="0.2">
      <c r="A28" s="16"/>
      <c r="B28" s="20" t="s">
        <v>49</v>
      </c>
      <c r="C28" s="65" t="s">
        <v>208</v>
      </c>
      <c r="D28" s="65"/>
      <c r="E28" s="65"/>
      <c r="F28" s="65"/>
      <c r="G28" s="65"/>
      <c r="H28" s="65"/>
      <c r="I28" s="65" t="s">
        <v>209</v>
      </c>
      <c r="J28" s="65"/>
      <c r="K28" s="65"/>
      <c r="L28" s="65" t="s">
        <v>210</v>
      </c>
      <c r="M28" s="65"/>
      <c r="N28" s="65"/>
      <c r="O28" s="65"/>
      <c r="P28" s="21" t="s">
        <v>48</v>
      </c>
      <c r="Q28" s="21" t="s">
        <v>91</v>
      </c>
      <c r="R28" s="21">
        <v>54.5</v>
      </c>
      <c r="S28" s="21">
        <v>54.5</v>
      </c>
      <c r="T28" s="21">
        <v>55.56</v>
      </c>
      <c r="U28" s="22">
        <f>101.94</f>
        <v>101.94</v>
      </c>
    </row>
    <row r="29" spans="1:22" ht="75" customHeight="1" x14ac:dyDescent="0.2">
      <c r="A29" s="16"/>
      <c r="B29" s="20" t="s">
        <v>49</v>
      </c>
      <c r="C29" s="65" t="s">
        <v>49</v>
      </c>
      <c r="D29" s="65"/>
      <c r="E29" s="65"/>
      <c r="F29" s="65"/>
      <c r="G29" s="65"/>
      <c r="H29" s="65"/>
      <c r="I29" s="65" t="s">
        <v>211</v>
      </c>
      <c r="J29" s="65"/>
      <c r="K29" s="65"/>
      <c r="L29" s="65" t="s">
        <v>212</v>
      </c>
      <c r="M29" s="65"/>
      <c r="N29" s="65"/>
      <c r="O29" s="65"/>
      <c r="P29" s="21" t="s">
        <v>48</v>
      </c>
      <c r="Q29" s="21" t="s">
        <v>91</v>
      </c>
      <c r="R29" s="21">
        <v>100</v>
      </c>
      <c r="S29" s="21">
        <v>100</v>
      </c>
      <c r="T29" s="21">
        <v>202</v>
      </c>
      <c r="U29" s="22">
        <f>202</f>
        <v>202</v>
      </c>
    </row>
    <row r="30" spans="1:22" ht="105" customHeight="1" thickBot="1" x14ac:dyDescent="0.25">
      <c r="A30" s="16"/>
      <c r="B30" s="20" t="s">
        <v>49</v>
      </c>
      <c r="C30" s="65" t="s">
        <v>213</v>
      </c>
      <c r="D30" s="65"/>
      <c r="E30" s="65"/>
      <c r="F30" s="65"/>
      <c r="G30" s="65"/>
      <c r="H30" s="65"/>
      <c r="I30" s="65" t="s">
        <v>214</v>
      </c>
      <c r="J30" s="65"/>
      <c r="K30" s="65"/>
      <c r="L30" s="65" t="s">
        <v>215</v>
      </c>
      <c r="M30" s="65"/>
      <c r="N30" s="65"/>
      <c r="O30" s="65"/>
      <c r="P30" s="21" t="s">
        <v>48</v>
      </c>
      <c r="Q30" s="21" t="s">
        <v>91</v>
      </c>
      <c r="R30" s="21">
        <v>62.3</v>
      </c>
      <c r="S30" s="21">
        <v>62.3</v>
      </c>
      <c r="T30" s="21">
        <v>214.76</v>
      </c>
      <c r="U30" s="22">
        <f>344.71</f>
        <v>344.71</v>
      </c>
    </row>
    <row r="31" spans="1:22" ht="14.25" customHeight="1" thickTop="1" thickBot="1" x14ac:dyDescent="0.25">
      <c r="B31" s="4" t="s">
        <v>58</v>
      </c>
      <c r="C31" s="5"/>
      <c r="D31" s="5"/>
      <c r="E31" s="5"/>
      <c r="F31" s="5"/>
      <c r="G31" s="5"/>
      <c r="H31" s="6"/>
      <c r="I31" s="6"/>
      <c r="J31" s="6"/>
      <c r="K31" s="6"/>
      <c r="L31" s="6"/>
      <c r="M31" s="6"/>
      <c r="N31" s="6"/>
      <c r="O31" s="6"/>
      <c r="P31" s="6"/>
      <c r="Q31" s="6"/>
      <c r="R31" s="6"/>
      <c r="S31" s="6"/>
      <c r="T31" s="6"/>
      <c r="U31" s="7"/>
      <c r="V31" s="23"/>
    </row>
    <row r="32" spans="1:22" ht="26.25" customHeight="1" thickTop="1" x14ac:dyDescent="0.2">
      <c r="B32" s="24"/>
      <c r="C32" s="25"/>
      <c r="D32" s="25"/>
      <c r="E32" s="25"/>
      <c r="F32" s="25"/>
      <c r="G32" s="25"/>
      <c r="H32" s="26"/>
      <c r="I32" s="26"/>
      <c r="J32" s="26"/>
      <c r="K32" s="26"/>
      <c r="L32" s="26"/>
      <c r="M32" s="26"/>
      <c r="N32" s="26"/>
      <c r="O32" s="26"/>
      <c r="P32" s="26"/>
      <c r="Q32" s="26"/>
      <c r="R32" s="27"/>
      <c r="S32" s="28" t="s">
        <v>33</v>
      </c>
      <c r="T32" s="28" t="s">
        <v>59</v>
      </c>
      <c r="U32" s="13" t="s">
        <v>60</v>
      </c>
    </row>
    <row r="33" spans="2:21" ht="30.75" customHeight="1" thickBot="1" x14ac:dyDescent="0.25">
      <c r="B33" s="29"/>
      <c r="C33" s="30"/>
      <c r="D33" s="30"/>
      <c r="E33" s="30"/>
      <c r="F33" s="30"/>
      <c r="G33" s="30"/>
      <c r="H33" s="31"/>
      <c r="I33" s="31"/>
      <c r="J33" s="31"/>
      <c r="K33" s="31"/>
      <c r="L33" s="31"/>
      <c r="M33" s="31"/>
      <c r="N33" s="31"/>
      <c r="O33" s="31"/>
      <c r="P33" s="31"/>
      <c r="Q33" s="31"/>
      <c r="R33" s="31"/>
      <c r="S33" s="32" t="s">
        <v>61</v>
      </c>
      <c r="T33" s="33" t="s">
        <v>61</v>
      </c>
      <c r="U33" s="33" t="s">
        <v>62</v>
      </c>
    </row>
    <row r="34" spans="2:21" ht="19.5" customHeight="1" thickBot="1" x14ac:dyDescent="0.25">
      <c r="B34" s="67" t="s">
        <v>63</v>
      </c>
      <c r="C34" s="68"/>
      <c r="D34" s="68"/>
      <c r="E34" s="34"/>
      <c r="F34" s="34"/>
      <c r="G34" s="34"/>
      <c r="H34" s="35"/>
      <c r="I34" s="35"/>
      <c r="J34" s="35"/>
      <c r="K34" s="35"/>
      <c r="L34" s="35"/>
      <c r="M34" s="35"/>
      <c r="N34" s="35"/>
      <c r="O34" s="35"/>
      <c r="P34" s="36"/>
      <c r="Q34" s="36"/>
      <c r="R34" s="36"/>
      <c r="S34" s="53">
        <v>1858.86</v>
      </c>
      <c r="T34" s="53">
        <v>1858.86</v>
      </c>
      <c r="U34" s="54">
        <f>+IF(ISERR(T34/S34*100),"N/A",ROUND(T34/S34*100,1))</f>
        <v>100</v>
      </c>
    </row>
    <row r="35" spans="2:21" ht="19.5" customHeight="1" thickBot="1" x14ac:dyDescent="0.25">
      <c r="B35" s="69" t="s">
        <v>64</v>
      </c>
      <c r="C35" s="70"/>
      <c r="D35" s="70"/>
      <c r="E35" s="37"/>
      <c r="F35" s="37"/>
      <c r="G35" s="37"/>
      <c r="H35" s="38"/>
      <c r="I35" s="38"/>
      <c r="J35" s="38"/>
      <c r="K35" s="38"/>
      <c r="L35" s="38"/>
      <c r="M35" s="38"/>
      <c r="N35" s="38"/>
      <c r="O35" s="38"/>
      <c r="P35" s="39"/>
      <c r="Q35" s="39"/>
      <c r="R35" s="39"/>
      <c r="S35" s="53">
        <v>1858.86</v>
      </c>
      <c r="T35" s="53">
        <v>1858.86</v>
      </c>
      <c r="U35" s="54">
        <f>+IF(ISERR(T35/S35*100),"N/A",ROUND(T35/S35*100,1))</f>
        <v>100</v>
      </c>
    </row>
    <row r="36" spans="2:21" ht="14.85" customHeight="1" thickTop="1" thickBot="1" x14ac:dyDescent="0.25">
      <c r="B36" s="4" t="s">
        <v>65</v>
      </c>
      <c r="C36" s="5"/>
      <c r="D36" s="5"/>
      <c r="E36" s="5"/>
      <c r="F36" s="5"/>
      <c r="G36" s="5"/>
      <c r="H36" s="6"/>
      <c r="I36" s="6"/>
      <c r="J36" s="6"/>
      <c r="K36" s="6"/>
      <c r="L36" s="6"/>
      <c r="M36" s="6"/>
      <c r="N36" s="6"/>
      <c r="O36" s="6"/>
      <c r="P36" s="6"/>
      <c r="Q36" s="6"/>
      <c r="R36" s="6"/>
      <c r="S36" s="6"/>
      <c r="T36" s="6"/>
      <c r="U36" s="7"/>
    </row>
    <row r="37" spans="2:21" ht="44.25" customHeight="1" thickTop="1" x14ac:dyDescent="0.2">
      <c r="B37" s="71" t="s">
        <v>66</v>
      </c>
      <c r="C37" s="72"/>
      <c r="D37" s="72"/>
      <c r="E37" s="72"/>
      <c r="F37" s="72"/>
      <c r="G37" s="72"/>
      <c r="H37" s="72"/>
      <c r="I37" s="72"/>
      <c r="J37" s="72"/>
      <c r="K37" s="72"/>
      <c r="L37" s="72"/>
      <c r="M37" s="72"/>
      <c r="N37" s="72"/>
      <c r="O37" s="72"/>
      <c r="P37" s="72"/>
      <c r="Q37" s="72"/>
      <c r="R37" s="72"/>
      <c r="S37" s="72"/>
      <c r="T37" s="72"/>
      <c r="U37" s="73"/>
    </row>
    <row r="38" spans="2:21" ht="56.25" customHeight="1" x14ac:dyDescent="0.2">
      <c r="B38" s="59" t="s">
        <v>216</v>
      </c>
      <c r="C38" s="60"/>
      <c r="D38" s="60"/>
      <c r="E38" s="60"/>
      <c r="F38" s="60"/>
      <c r="G38" s="60"/>
      <c r="H38" s="60"/>
      <c r="I38" s="60"/>
      <c r="J38" s="60"/>
      <c r="K38" s="60"/>
      <c r="L38" s="60"/>
      <c r="M38" s="60"/>
      <c r="N38" s="60"/>
      <c r="O38" s="60"/>
      <c r="P38" s="60"/>
      <c r="Q38" s="60"/>
      <c r="R38" s="60"/>
      <c r="S38" s="60"/>
      <c r="T38" s="60"/>
      <c r="U38" s="61"/>
    </row>
    <row r="39" spans="2:21" ht="106.7" customHeight="1" x14ac:dyDescent="0.2">
      <c r="B39" s="59" t="s">
        <v>217</v>
      </c>
      <c r="C39" s="60"/>
      <c r="D39" s="60"/>
      <c r="E39" s="60"/>
      <c r="F39" s="60"/>
      <c r="G39" s="60"/>
      <c r="H39" s="60"/>
      <c r="I39" s="60"/>
      <c r="J39" s="60"/>
      <c r="K39" s="60"/>
      <c r="L39" s="60"/>
      <c r="M39" s="60"/>
      <c r="N39" s="60"/>
      <c r="O39" s="60"/>
      <c r="P39" s="60"/>
      <c r="Q39" s="60"/>
      <c r="R39" s="60"/>
      <c r="S39" s="60"/>
      <c r="T39" s="60"/>
      <c r="U39" s="61"/>
    </row>
    <row r="40" spans="2:21" ht="116.25" customHeight="1" x14ac:dyDescent="0.2">
      <c r="B40" s="59" t="s">
        <v>218</v>
      </c>
      <c r="C40" s="60"/>
      <c r="D40" s="60"/>
      <c r="E40" s="60"/>
      <c r="F40" s="60"/>
      <c r="G40" s="60"/>
      <c r="H40" s="60"/>
      <c r="I40" s="60"/>
      <c r="J40" s="60"/>
      <c r="K40" s="60"/>
      <c r="L40" s="60"/>
      <c r="M40" s="60"/>
      <c r="N40" s="60"/>
      <c r="O40" s="60"/>
      <c r="P40" s="60"/>
      <c r="Q40" s="60"/>
      <c r="R40" s="60"/>
      <c r="S40" s="60"/>
      <c r="T40" s="60"/>
      <c r="U40" s="61"/>
    </row>
    <row r="41" spans="2:21" ht="71.25" customHeight="1" x14ac:dyDescent="0.2">
      <c r="B41" s="59" t="s">
        <v>219</v>
      </c>
      <c r="C41" s="60"/>
      <c r="D41" s="60"/>
      <c r="E41" s="60"/>
      <c r="F41" s="60"/>
      <c r="G41" s="60"/>
      <c r="H41" s="60"/>
      <c r="I41" s="60"/>
      <c r="J41" s="60"/>
      <c r="K41" s="60"/>
      <c r="L41" s="60"/>
      <c r="M41" s="60"/>
      <c r="N41" s="60"/>
      <c r="O41" s="60"/>
      <c r="P41" s="60"/>
      <c r="Q41" s="60"/>
      <c r="R41" s="60"/>
      <c r="S41" s="60"/>
      <c r="T41" s="60"/>
      <c r="U41" s="61"/>
    </row>
    <row r="42" spans="2:21" ht="71.25" customHeight="1" x14ac:dyDescent="0.2">
      <c r="B42" s="59" t="s">
        <v>220</v>
      </c>
      <c r="C42" s="60"/>
      <c r="D42" s="60"/>
      <c r="E42" s="60"/>
      <c r="F42" s="60"/>
      <c r="G42" s="60"/>
      <c r="H42" s="60"/>
      <c r="I42" s="60"/>
      <c r="J42" s="60"/>
      <c r="K42" s="60"/>
      <c r="L42" s="60"/>
      <c r="M42" s="60"/>
      <c r="N42" s="60"/>
      <c r="O42" s="60"/>
      <c r="P42" s="60"/>
      <c r="Q42" s="60"/>
      <c r="R42" s="60"/>
      <c r="S42" s="60"/>
      <c r="T42" s="60"/>
      <c r="U42" s="61"/>
    </row>
    <row r="43" spans="2:21" ht="71.25" customHeight="1" x14ac:dyDescent="0.2">
      <c r="B43" s="59" t="s">
        <v>221</v>
      </c>
      <c r="C43" s="60"/>
      <c r="D43" s="60"/>
      <c r="E43" s="60"/>
      <c r="F43" s="60"/>
      <c r="G43" s="60"/>
      <c r="H43" s="60"/>
      <c r="I43" s="60"/>
      <c r="J43" s="60"/>
      <c r="K43" s="60"/>
      <c r="L43" s="60"/>
      <c r="M43" s="60"/>
      <c r="N43" s="60"/>
      <c r="O43" s="60"/>
      <c r="P43" s="60"/>
      <c r="Q43" s="60"/>
      <c r="R43" s="60"/>
      <c r="S43" s="60"/>
      <c r="T43" s="60"/>
      <c r="U43" s="61"/>
    </row>
    <row r="44" spans="2:21" ht="71.25" customHeight="1" x14ac:dyDescent="0.2">
      <c r="B44" s="59" t="s">
        <v>222</v>
      </c>
      <c r="C44" s="60"/>
      <c r="D44" s="60"/>
      <c r="E44" s="60"/>
      <c r="F44" s="60"/>
      <c r="G44" s="60"/>
      <c r="H44" s="60"/>
      <c r="I44" s="60"/>
      <c r="J44" s="60"/>
      <c r="K44" s="60"/>
      <c r="L44" s="60"/>
      <c r="M44" s="60"/>
      <c r="N44" s="60"/>
      <c r="O44" s="60"/>
      <c r="P44" s="60"/>
      <c r="Q44" s="60"/>
      <c r="R44" s="60"/>
      <c r="S44" s="60"/>
      <c r="T44" s="60"/>
      <c r="U44" s="61"/>
    </row>
    <row r="45" spans="2:21" ht="71.25" customHeight="1" x14ac:dyDescent="0.2">
      <c r="B45" s="59" t="s">
        <v>223</v>
      </c>
      <c r="C45" s="60"/>
      <c r="D45" s="60"/>
      <c r="E45" s="60"/>
      <c r="F45" s="60"/>
      <c r="G45" s="60"/>
      <c r="H45" s="60"/>
      <c r="I45" s="60"/>
      <c r="J45" s="60"/>
      <c r="K45" s="60"/>
      <c r="L45" s="60"/>
      <c r="M45" s="60"/>
      <c r="N45" s="60"/>
      <c r="O45" s="60"/>
      <c r="P45" s="60"/>
      <c r="Q45" s="60"/>
      <c r="R45" s="60"/>
      <c r="S45" s="60"/>
      <c r="T45" s="60"/>
      <c r="U45" s="61"/>
    </row>
    <row r="46" spans="2:21" ht="71.25" customHeight="1" x14ac:dyDescent="0.2">
      <c r="B46" s="59" t="s">
        <v>224</v>
      </c>
      <c r="C46" s="60"/>
      <c r="D46" s="60"/>
      <c r="E46" s="60"/>
      <c r="F46" s="60"/>
      <c r="G46" s="60"/>
      <c r="H46" s="60"/>
      <c r="I46" s="60"/>
      <c r="J46" s="60"/>
      <c r="K46" s="60"/>
      <c r="L46" s="60"/>
      <c r="M46" s="60"/>
      <c r="N46" s="60"/>
      <c r="O46" s="60"/>
      <c r="P46" s="60"/>
      <c r="Q46" s="60"/>
      <c r="R46" s="60"/>
      <c r="S46" s="60"/>
      <c r="T46" s="60"/>
      <c r="U46" s="61"/>
    </row>
    <row r="47" spans="2:21" ht="71.25" customHeight="1" x14ac:dyDescent="0.2">
      <c r="B47" s="59" t="s">
        <v>225</v>
      </c>
      <c r="C47" s="60"/>
      <c r="D47" s="60"/>
      <c r="E47" s="60"/>
      <c r="F47" s="60"/>
      <c r="G47" s="60"/>
      <c r="H47" s="60"/>
      <c r="I47" s="60"/>
      <c r="J47" s="60"/>
      <c r="K47" s="60"/>
      <c r="L47" s="60"/>
      <c r="M47" s="60"/>
      <c r="N47" s="60"/>
      <c r="O47" s="60"/>
      <c r="P47" s="60"/>
      <c r="Q47" s="60"/>
      <c r="R47" s="60"/>
      <c r="S47" s="60"/>
      <c r="T47" s="60"/>
      <c r="U47" s="61"/>
    </row>
    <row r="48" spans="2:21" ht="71.25" customHeight="1" x14ac:dyDescent="0.2">
      <c r="B48" s="59" t="s">
        <v>226</v>
      </c>
      <c r="C48" s="60"/>
      <c r="D48" s="60"/>
      <c r="E48" s="60"/>
      <c r="F48" s="60"/>
      <c r="G48" s="60"/>
      <c r="H48" s="60"/>
      <c r="I48" s="60"/>
      <c r="J48" s="60"/>
      <c r="K48" s="60"/>
      <c r="L48" s="60"/>
      <c r="M48" s="60"/>
      <c r="N48" s="60"/>
      <c r="O48" s="60"/>
      <c r="P48" s="60"/>
      <c r="Q48" s="60"/>
      <c r="R48" s="60"/>
      <c r="S48" s="60"/>
      <c r="T48" s="60"/>
      <c r="U48" s="61"/>
    </row>
    <row r="49" spans="2:21" ht="71.25" customHeight="1" x14ac:dyDescent="0.2">
      <c r="B49" s="59" t="s">
        <v>227</v>
      </c>
      <c r="C49" s="60"/>
      <c r="D49" s="60"/>
      <c r="E49" s="60"/>
      <c r="F49" s="60"/>
      <c r="G49" s="60"/>
      <c r="H49" s="60"/>
      <c r="I49" s="60"/>
      <c r="J49" s="60"/>
      <c r="K49" s="60"/>
      <c r="L49" s="60"/>
      <c r="M49" s="60"/>
      <c r="N49" s="60"/>
      <c r="O49" s="60"/>
      <c r="P49" s="60"/>
      <c r="Q49" s="60"/>
      <c r="R49" s="60"/>
      <c r="S49" s="60"/>
      <c r="T49" s="60"/>
      <c r="U49" s="61"/>
    </row>
    <row r="50" spans="2:21" ht="71.25" customHeight="1" x14ac:dyDescent="0.2">
      <c r="B50" s="59" t="s">
        <v>228</v>
      </c>
      <c r="C50" s="60"/>
      <c r="D50" s="60"/>
      <c r="E50" s="60"/>
      <c r="F50" s="60"/>
      <c r="G50" s="60"/>
      <c r="H50" s="60"/>
      <c r="I50" s="60"/>
      <c r="J50" s="60"/>
      <c r="K50" s="60"/>
      <c r="L50" s="60"/>
      <c r="M50" s="60"/>
      <c r="N50" s="60"/>
      <c r="O50" s="60"/>
      <c r="P50" s="60"/>
      <c r="Q50" s="60"/>
      <c r="R50" s="60"/>
      <c r="S50" s="60"/>
      <c r="T50" s="60"/>
      <c r="U50" s="61"/>
    </row>
    <row r="51" spans="2:21" ht="71.25" customHeight="1" x14ac:dyDescent="0.2">
      <c r="B51" s="59" t="s">
        <v>229</v>
      </c>
      <c r="C51" s="60"/>
      <c r="D51" s="60"/>
      <c r="E51" s="60"/>
      <c r="F51" s="60"/>
      <c r="G51" s="60"/>
      <c r="H51" s="60"/>
      <c r="I51" s="60"/>
      <c r="J51" s="60"/>
      <c r="K51" s="60"/>
      <c r="L51" s="60"/>
      <c r="M51" s="60"/>
      <c r="N51" s="60"/>
      <c r="O51" s="60"/>
      <c r="P51" s="60"/>
      <c r="Q51" s="60"/>
      <c r="R51" s="60"/>
      <c r="S51" s="60"/>
      <c r="T51" s="60"/>
      <c r="U51" s="61"/>
    </row>
    <row r="52" spans="2:21" ht="71.25" customHeight="1" x14ac:dyDescent="0.2">
      <c r="B52" s="59" t="s">
        <v>230</v>
      </c>
      <c r="C52" s="60"/>
      <c r="D52" s="60"/>
      <c r="E52" s="60"/>
      <c r="F52" s="60"/>
      <c r="G52" s="60"/>
      <c r="H52" s="60"/>
      <c r="I52" s="60"/>
      <c r="J52" s="60"/>
      <c r="K52" s="60"/>
      <c r="L52" s="60"/>
      <c r="M52" s="60"/>
      <c r="N52" s="60"/>
      <c r="O52" s="60"/>
      <c r="P52" s="60"/>
      <c r="Q52" s="60"/>
      <c r="R52" s="60"/>
      <c r="S52" s="60"/>
      <c r="T52" s="60"/>
      <c r="U52" s="61"/>
    </row>
    <row r="53" spans="2:21" ht="71.25" customHeight="1" x14ac:dyDescent="0.2">
      <c r="B53" s="59" t="s">
        <v>231</v>
      </c>
      <c r="C53" s="60"/>
      <c r="D53" s="60"/>
      <c r="E53" s="60"/>
      <c r="F53" s="60"/>
      <c r="G53" s="60"/>
      <c r="H53" s="60"/>
      <c r="I53" s="60"/>
      <c r="J53" s="60"/>
      <c r="K53" s="60"/>
      <c r="L53" s="60"/>
      <c r="M53" s="60"/>
      <c r="N53" s="60"/>
      <c r="O53" s="60"/>
      <c r="P53" s="60"/>
      <c r="Q53" s="60"/>
      <c r="R53" s="60"/>
      <c r="S53" s="60"/>
      <c r="T53" s="60"/>
      <c r="U53" s="61"/>
    </row>
    <row r="54" spans="2:21" ht="71.25" customHeight="1" x14ac:dyDescent="0.2">
      <c r="B54" s="59" t="s">
        <v>232</v>
      </c>
      <c r="C54" s="60"/>
      <c r="D54" s="60"/>
      <c r="E54" s="60"/>
      <c r="F54" s="60"/>
      <c r="G54" s="60"/>
      <c r="H54" s="60"/>
      <c r="I54" s="60"/>
      <c r="J54" s="60"/>
      <c r="K54" s="60"/>
      <c r="L54" s="60"/>
      <c r="M54" s="60"/>
      <c r="N54" s="60"/>
      <c r="O54" s="60"/>
      <c r="P54" s="60"/>
      <c r="Q54" s="60"/>
      <c r="R54" s="60"/>
      <c r="S54" s="60"/>
      <c r="T54" s="60"/>
      <c r="U54" s="61"/>
    </row>
    <row r="55" spans="2:21" ht="71.25" customHeight="1" x14ac:dyDescent="0.2">
      <c r="B55" s="59" t="s">
        <v>233</v>
      </c>
      <c r="C55" s="60"/>
      <c r="D55" s="60"/>
      <c r="E55" s="60"/>
      <c r="F55" s="60"/>
      <c r="G55" s="60"/>
      <c r="H55" s="60"/>
      <c r="I55" s="60"/>
      <c r="J55" s="60"/>
      <c r="K55" s="60"/>
      <c r="L55" s="60"/>
      <c r="M55" s="60"/>
      <c r="N55" s="60"/>
      <c r="O55" s="60"/>
      <c r="P55" s="60"/>
      <c r="Q55" s="60"/>
      <c r="R55" s="60"/>
      <c r="S55" s="60"/>
      <c r="T55" s="60"/>
      <c r="U55" s="61"/>
    </row>
    <row r="56" spans="2:21" ht="71.25" customHeight="1" thickBot="1" x14ac:dyDescent="0.25">
      <c r="B56" s="62" t="s">
        <v>234</v>
      </c>
      <c r="C56" s="63"/>
      <c r="D56" s="63"/>
      <c r="E56" s="63"/>
      <c r="F56" s="63"/>
      <c r="G56" s="63"/>
      <c r="H56" s="63"/>
      <c r="I56" s="63"/>
      <c r="J56" s="63"/>
      <c r="K56" s="63"/>
      <c r="L56" s="63"/>
      <c r="M56" s="63"/>
      <c r="N56" s="63"/>
      <c r="O56" s="63"/>
      <c r="P56" s="63"/>
      <c r="Q56" s="63"/>
      <c r="R56" s="63"/>
      <c r="S56" s="63"/>
      <c r="T56" s="63"/>
      <c r="U56" s="64"/>
    </row>
  </sheetData>
  <mergeCells count="103">
    <mergeCell ref="B8:B10"/>
    <mergeCell ref="C8:H10"/>
    <mergeCell ref="I8:S8"/>
    <mergeCell ref="T8:U8"/>
    <mergeCell ref="I9:K10"/>
    <mergeCell ref="L9:O10"/>
    <mergeCell ref="B1:L1"/>
    <mergeCell ref="D4:H4"/>
    <mergeCell ref="L4:O4"/>
    <mergeCell ref="Q4:R4"/>
    <mergeCell ref="T4:U4"/>
    <mergeCell ref="B5:U5"/>
    <mergeCell ref="T9:T10"/>
    <mergeCell ref="U9:U10"/>
    <mergeCell ref="C6:G6"/>
    <mergeCell ref="K6:M6"/>
    <mergeCell ref="P6:Q6"/>
    <mergeCell ref="T6:U6"/>
    <mergeCell ref="C13:H13"/>
    <mergeCell ref="I13:K13"/>
    <mergeCell ref="L13:O13"/>
    <mergeCell ref="P9:P10"/>
    <mergeCell ref="Q9:Q10"/>
    <mergeCell ref="R9:S9"/>
    <mergeCell ref="C16:H16"/>
    <mergeCell ref="I16:K16"/>
    <mergeCell ref="L16:O16"/>
    <mergeCell ref="C11:H11"/>
    <mergeCell ref="I11:K11"/>
    <mergeCell ref="L11:O11"/>
    <mergeCell ref="C12:H12"/>
    <mergeCell ref="I12:K12"/>
    <mergeCell ref="L12:O12"/>
    <mergeCell ref="C17:H17"/>
    <mergeCell ref="I17:K17"/>
    <mergeCell ref="L17:O17"/>
    <mergeCell ref="C14:H14"/>
    <mergeCell ref="I14:K14"/>
    <mergeCell ref="L14:O14"/>
    <mergeCell ref="C15:H15"/>
    <mergeCell ref="I15:K15"/>
    <mergeCell ref="L15:O15"/>
    <mergeCell ref="C20:H20"/>
    <mergeCell ref="I20:K20"/>
    <mergeCell ref="L20:O20"/>
    <mergeCell ref="C21:H21"/>
    <mergeCell ref="I21:K21"/>
    <mergeCell ref="L21:O21"/>
    <mergeCell ref="C18:H18"/>
    <mergeCell ref="I18:K18"/>
    <mergeCell ref="L18:O18"/>
    <mergeCell ref="C19:H19"/>
    <mergeCell ref="I19:K19"/>
    <mergeCell ref="L19:O19"/>
    <mergeCell ref="C24:H24"/>
    <mergeCell ref="I24:K24"/>
    <mergeCell ref="L24:O24"/>
    <mergeCell ref="C25:H25"/>
    <mergeCell ref="I25:K25"/>
    <mergeCell ref="L25:O25"/>
    <mergeCell ref="C22:H22"/>
    <mergeCell ref="I22:K22"/>
    <mergeCell ref="L22:O22"/>
    <mergeCell ref="C23:H23"/>
    <mergeCell ref="I23:K23"/>
    <mergeCell ref="L23:O23"/>
    <mergeCell ref="C28:H28"/>
    <mergeCell ref="I28:K28"/>
    <mergeCell ref="L28:O28"/>
    <mergeCell ref="C29:H29"/>
    <mergeCell ref="I29:K29"/>
    <mergeCell ref="L29:O29"/>
    <mergeCell ref="C26:H26"/>
    <mergeCell ref="I26:K26"/>
    <mergeCell ref="L26:O26"/>
    <mergeCell ref="C27:H27"/>
    <mergeCell ref="I27:K27"/>
    <mergeCell ref="L27:O27"/>
    <mergeCell ref="B38:U38"/>
    <mergeCell ref="B39:U39"/>
    <mergeCell ref="B40:U40"/>
    <mergeCell ref="B41:U41"/>
    <mergeCell ref="B42:U42"/>
    <mergeCell ref="C30:H30"/>
    <mergeCell ref="I30:K30"/>
    <mergeCell ref="L30:O30"/>
    <mergeCell ref="B34:D34"/>
    <mergeCell ref="B35:D35"/>
    <mergeCell ref="B37:U37"/>
    <mergeCell ref="B55:U55"/>
    <mergeCell ref="B56:U56"/>
    <mergeCell ref="B49:U49"/>
    <mergeCell ref="B50:U50"/>
    <mergeCell ref="B51:U51"/>
    <mergeCell ref="B52:U52"/>
    <mergeCell ref="B53:U53"/>
    <mergeCell ref="B54:U54"/>
    <mergeCell ref="B43:U43"/>
    <mergeCell ref="B44:U44"/>
    <mergeCell ref="B45:U45"/>
    <mergeCell ref="B46:U46"/>
    <mergeCell ref="B47:U47"/>
    <mergeCell ref="B48:U48"/>
  </mergeCells>
  <printOptions horizontalCentered="1"/>
  <pageMargins left="0.78740157480314965" right="0.78740157480314965" top="0.98425196850393704" bottom="0.98425196850393704" header="0" footer="0.39370078740157483"/>
  <pageSetup scale="56" fitToHeight="10" orientation="landscape" r:id="rId1"/>
  <headerFooter>
    <oddFooter>&amp;R&amp;P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5"/>
  <sheetViews>
    <sheetView zoomScale="70" zoomScaleNormal="70" zoomScaleSheetLayoutView="80" workbookViewId="0"/>
  </sheetViews>
  <sheetFormatPr baseColWidth="10" defaultColWidth="10" defaultRowHeight="12.75" x14ac:dyDescent="0.2"/>
  <cols>
    <col min="1" max="1" width="3.5" style="1" customWidth="1"/>
    <col min="2" max="2" width="14.6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8.62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375" style="1" customWidth="1"/>
    <col min="19" max="19" width="13" style="1" customWidth="1"/>
    <col min="20" max="20" width="10.75" style="1" customWidth="1"/>
    <col min="21" max="21" width="12.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5" t="s">
        <v>0</v>
      </c>
      <c r="C1" s="55"/>
      <c r="D1" s="55"/>
      <c r="E1" s="55"/>
      <c r="F1" s="55"/>
      <c r="G1" s="55"/>
      <c r="H1" s="55"/>
      <c r="I1" s="55"/>
      <c r="J1" s="55"/>
      <c r="K1" s="55"/>
      <c r="L1" s="55"/>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42" t="s">
        <v>6</v>
      </c>
      <c r="C4" s="43" t="s">
        <v>235</v>
      </c>
      <c r="D4" s="102" t="s">
        <v>236</v>
      </c>
      <c r="E4" s="102"/>
      <c r="F4" s="102"/>
      <c r="G4" s="102"/>
      <c r="H4" s="102"/>
      <c r="I4" s="44"/>
      <c r="J4" s="45" t="s">
        <v>9</v>
      </c>
      <c r="K4" s="46" t="s">
        <v>10</v>
      </c>
      <c r="L4" s="103" t="s">
        <v>11</v>
      </c>
      <c r="M4" s="103"/>
      <c r="N4" s="103"/>
      <c r="O4" s="103"/>
      <c r="P4" s="45" t="s">
        <v>12</v>
      </c>
      <c r="Q4" s="103" t="s">
        <v>237</v>
      </c>
      <c r="R4" s="103"/>
      <c r="S4" s="45" t="s">
        <v>14</v>
      </c>
      <c r="T4" s="103" t="s">
        <v>156</v>
      </c>
      <c r="U4" s="104"/>
    </row>
    <row r="5" spans="1:21" ht="15.75" customHeight="1" x14ac:dyDescent="0.2">
      <c r="B5" s="99" t="s">
        <v>15</v>
      </c>
      <c r="C5" s="100"/>
      <c r="D5" s="100"/>
      <c r="E5" s="100"/>
      <c r="F5" s="100"/>
      <c r="G5" s="100"/>
      <c r="H5" s="100"/>
      <c r="I5" s="100"/>
      <c r="J5" s="100"/>
      <c r="K5" s="100"/>
      <c r="L5" s="100"/>
      <c r="M5" s="100"/>
      <c r="N5" s="100"/>
      <c r="O5" s="100"/>
      <c r="P5" s="100"/>
      <c r="Q5" s="100"/>
      <c r="R5" s="100"/>
      <c r="S5" s="100"/>
      <c r="T5" s="100"/>
      <c r="U5" s="101"/>
    </row>
    <row r="6" spans="1:21" ht="72.75" customHeight="1" thickBot="1" x14ac:dyDescent="0.25">
      <c r="B6" s="47" t="s">
        <v>16</v>
      </c>
      <c r="C6" s="76" t="s">
        <v>17</v>
      </c>
      <c r="D6" s="76"/>
      <c r="E6" s="76"/>
      <c r="F6" s="76"/>
      <c r="G6" s="76"/>
      <c r="H6" s="48"/>
      <c r="I6" s="48"/>
      <c r="J6" s="48" t="s">
        <v>18</v>
      </c>
      <c r="K6" s="76" t="s">
        <v>238</v>
      </c>
      <c r="L6" s="76"/>
      <c r="M6" s="76"/>
      <c r="N6" s="49"/>
      <c r="O6" s="48" t="s">
        <v>20</v>
      </c>
      <c r="P6" s="76" t="s">
        <v>239</v>
      </c>
      <c r="Q6" s="76"/>
      <c r="R6" s="50"/>
      <c r="S6" s="48" t="s">
        <v>22</v>
      </c>
      <c r="T6" s="76" t="s">
        <v>240</v>
      </c>
      <c r="U6" s="77"/>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8" t="s">
        <v>25</v>
      </c>
      <c r="C8" s="81" t="s">
        <v>26</v>
      </c>
      <c r="D8" s="81"/>
      <c r="E8" s="81"/>
      <c r="F8" s="81"/>
      <c r="G8" s="81"/>
      <c r="H8" s="82"/>
      <c r="I8" s="87" t="s">
        <v>27</v>
      </c>
      <c r="J8" s="88"/>
      <c r="K8" s="88"/>
      <c r="L8" s="88"/>
      <c r="M8" s="88"/>
      <c r="N8" s="88"/>
      <c r="O8" s="88"/>
      <c r="P8" s="88"/>
      <c r="Q8" s="88"/>
      <c r="R8" s="88"/>
      <c r="S8" s="89"/>
      <c r="T8" s="90" t="s">
        <v>28</v>
      </c>
      <c r="U8" s="91"/>
    </row>
    <row r="9" spans="1:21" ht="19.5" customHeight="1" x14ac:dyDescent="0.2">
      <c r="B9" s="79"/>
      <c r="C9" s="83"/>
      <c r="D9" s="83"/>
      <c r="E9" s="83"/>
      <c r="F9" s="83"/>
      <c r="G9" s="83"/>
      <c r="H9" s="84"/>
      <c r="I9" s="92" t="s">
        <v>29</v>
      </c>
      <c r="J9" s="81"/>
      <c r="K9" s="81"/>
      <c r="L9" s="81" t="s">
        <v>30</v>
      </c>
      <c r="M9" s="81"/>
      <c r="N9" s="81"/>
      <c r="O9" s="81"/>
      <c r="P9" s="81" t="s">
        <v>31</v>
      </c>
      <c r="Q9" s="81" t="s">
        <v>32</v>
      </c>
      <c r="R9" s="95" t="s">
        <v>33</v>
      </c>
      <c r="S9" s="96"/>
      <c r="T9" s="81" t="s">
        <v>34</v>
      </c>
      <c r="U9" s="97" t="s">
        <v>35</v>
      </c>
    </row>
    <row r="10" spans="1:21" ht="26.25" customHeight="1" thickBot="1" x14ac:dyDescent="0.25">
      <c r="B10" s="80"/>
      <c r="C10" s="85"/>
      <c r="D10" s="85"/>
      <c r="E10" s="85"/>
      <c r="F10" s="85"/>
      <c r="G10" s="85"/>
      <c r="H10" s="86"/>
      <c r="I10" s="93"/>
      <c r="J10" s="94"/>
      <c r="K10" s="94"/>
      <c r="L10" s="94"/>
      <c r="M10" s="94"/>
      <c r="N10" s="94"/>
      <c r="O10" s="94"/>
      <c r="P10" s="94"/>
      <c r="Q10" s="94"/>
      <c r="R10" s="14" t="s">
        <v>36</v>
      </c>
      <c r="S10" s="15" t="s">
        <v>37</v>
      </c>
      <c r="T10" s="94"/>
      <c r="U10" s="98"/>
    </row>
    <row r="11" spans="1:21" ht="107.25" customHeight="1" thickTop="1" thickBot="1" x14ac:dyDescent="0.25">
      <c r="A11" s="16"/>
      <c r="B11" s="17" t="s">
        <v>75</v>
      </c>
      <c r="C11" s="74" t="s">
        <v>241</v>
      </c>
      <c r="D11" s="74"/>
      <c r="E11" s="74"/>
      <c r="F11" s="74"/>
      <c r="G11" s="74"/>
      <c r="H11" s="74"/>
      <c r="I11" s="74" t="s">
        <v>242</v>
      </c>
      <c r="J11" s="74"/>
      <c r="K11" s="74"/>
      <c r="L11" s="74" t="s">
        <v>243</v>
      </c>
      <c r="M11" s="74"/>
      <c r="N11" s="74"/>
      <c r="O11" s="74"/>
      <c r="P11" s="18" t="s">
        <v>48</v>
      </c>
      <c r="Q11" s="18" t="s">
        <v>244</v>
      </c>
      <c r="R11" s="18">
        <v>67.97</v>
      </c>
      <c r="S11" s="18">
        <v>50.03</v>
      </c>
      <c r="T11" s="18">
        <v>0</v>
      </c>
      <c r="U11" s="51">
        <f>0</f>
        <v>0</v>
      </c>
    </row>
    <row r="12" spans="1:21" ht="120" customHeight="1" thickTop="1" x14ac:dyDescent="0.2">
      <c r="A12" s="16"/>
      <c r="B12" s="17" t="s">
        <v>81</v>
      </c>
      <c r="C12" s="74" t="s">
        <v>245</v>
      </c>
      <c r="D12" s="74"/>
      <c r="E12" s="74"/>
      <c r="F12" s="74"/>
      <c r="G12" s="74"/>
      <c r="H12" s="74"/>
      <c r="I12" s="74" t="s">
        <v>246</v>
      </c>
      <c r="J12" s="74"/>
      <c r="K12" s="74"/>
      <c r="L12" s="74" t="s">
        <v>247</v>
      </c>
      <c r="M12" s="74"/>
      <c r="N12" s="74"/>
      <c r="O12" s="74"/>
      <c r="P12" s="18" t="s">
        <v>48</v>
      </c>
      <c r="Q12" s="18" t="s">
        <v>165</v>
      </c>
      <c r="R12" s="18">
        <v>69.98</v>
      </c>
      <c r="S12" s="18">
        <v>69.98</v>
      </c>
      <c r="T12" s="18">
        <v>54</v>
      </c>
      <c r="U12" s="51">
        <v>77.16</v>
      </c>
    </row>
    <row r="13" spans="1:21" ht="159.75" customHeight="1" thickBot="1" x14ac:dyDescent="0.25">
      <c r="A13" s="16"/>
      <c r="B13" s="20" t="s">
        <v>49</v>
      </c>
      <c r="C13" s="65" t="s">
        <v>49</v>
      </c>
      <c r="D13" s="65"/>
      <c r="E13" s="65"/>
      <c r="F13" s="65"/>
      <c r="G13" s="65"/>
      <c r="H13" s="65"/>
      <c r="I13" s="65" t="s">
        <v>248</v>
      </c>
      <c r="J13" s="65"/>
      <c r="K13" s="65"/>
      <c r="L13" s="65" t="s">
        <v>249</v>
      </c>
      <c r="M13" s="65"/>
      <c r="N13" s="65"/>
      <c r="O13" s="65"/>
      <c r="P13" s="21" t="s">
        <v>48</v>
      </c>
      <c r="Q13" s="21" t="s">
        <v>165</v>
      </c>
      <c r="R13" s="21">
        <v>69.87</v>
      </c>
      <c r="S13" s="21">
        <v>69.87</v>
      </c>
      <c r="T13" s="21">
        <v>0</v>
      </c>
      <c r="U13" s="22">
        <f>0</f>
        <v>0</v>
      </c>
    </row>
    <row r="14" spans="1:21" ht="112.5" customHeight="1" thickTop="1" x14ac:dyDescent="0.2">
      <c r="A14" s="16"/>
      <c r="B14" s="17" t="s">
        <v>38</v>
      </c>
      <c r="C14" s="74" t="s">
        <v>250</v>
      </c>
      <c r="D14" s="74"/>
      <c r="E14" s="74"/>
      <c r="F14" s="74"/>
      <c r="G14" s="74"/>
      <c r="H14" s="74"/>
      <c r="I14" s="74" t="s">
        <v>251</v>
      </c>
      <c r="J14" s="74"/>
      <c r="K14" s="74"/>
      <c r="L14" s="74" t="s">
        <v>252</v>
      </c>
      <c r="M14" s="74"/>
      <c r="N14" s="74"/>
      <c r="O14" s="74"/>
      <c r="P14" s="18" t="s">
        <v>48</v>
      </c>
      <c r="Q14" s="18" t="s">
        <v>91</v>
      </c>
      <c r="R14" s="18">
        <v>12.3</v>
      </c>
      <c r="S14" s="18">
        <v>12.3</v>
      </c>
      <c r="T14" s="18">
        <v>22.19</v>
      </c>
      <c r="U14" s="51">
        <f>180.4</f>
        <v>180.4</v>
      </c>
    </row>
    <row r="15" spans="1:21" ht="75" customHeight="1" x14ac:dyDescent="0.2">
      <c r="A15" s="16"/>
      <c r="B15" s="20" t="s">
        <v>49</v>
      </c>
      <c r="C15" s="65" t="s">
        <v>49</v>
      </c>
      <c r="D15" s="65"/>
      <c r="E15" s="65"/>
      <c r="F15" s="65"/>
      <c r="G15" s="65"/>
      <c r="H15" s="65"/>
      <c r="I15" s="65" t="s">
        <v>253</v>
      </c>
      <c r="J15" s="65"/>
      <c r="K15" s="65"/>
      <c r="L15" s="65" t="s">
        <v>254</v>
      </c>
      <c r="M15" s="65"/>
      <c r="N15" s="65"/>
      <c r="O15" s="65"/>
      <c r="P15" s="21" t="s">
        <v>255</v>
      </c>
      <c r="Q15" s="21" t="s">
        <v>91</v>
      </c>
      <c r="R15" s="40">
        <v>36</v>
      </c>
      <c r="S15" s="40">
        <v>36</v>
      </c>
      <c r="T15" s="40">
        <v>0</v>
      </c>
      <c r="U15" s="22">
        <f>0</f>
        <v>0</v>
      </c>
    </row>
    <row r="16" spans="1:21" ht="75" customHeight="1" x14ac:dyDescent="0.2">
      <c r="A16" s="16"/>
      <c r="B16" s="20" t="s">
        <v>49</v>
      </c>
      <c r="C16" s="65" t="s">
        <v>256</v>
      </c>
      <c r="D16" s="65"/>
      <c r="E16" s="65"/>
      <c r="F16" s="65"/>
      <c r="G16" s="65"/>
      <c r="H16" s="65"/>
      <c r="I16" s="65" t="s">
        <v>257</v>
      </c>
      <c r="J16" s="65"/>
      <c r="K16" s="65"/>
      <c r="L16" s="65" t="s">
        <v>258</v>
      </c>
      <c r="M16" s="65"/>
      <c r="N16" s="65"/>
      <c r="O16" s="65"/>
      <c r="P16" s="21" t="s">
        <v>255</v>
      </c>
      <c r="Q16" s="21" t="s">
        <v>91</v>
      </c>
      <c r="R16" s="40">
        <v>10</v>
      </c>
      <c r="S16" s="40">
        <v>10</v>
      </c>
      <c r="T16" s="40">
        <v>0</v>
      </c>
      <c r="U16" s="22">
        <f>0</f>
        <v>0</v>
      </c>
    </row>
    <row r="17" spans="1:22" ht="75" customHeight="1" x14ac:dyDescent="0.2">
      <c r="A17" s="16"/>
      <c r="B17" s="20" t="s">
        <v>49</v>
      </c>
      <c r="C17" s="65" t="s">
        <v>49</v>
      </c>
      <c r="D17" s="65"/>
      <c r="E17" s="65"/>
      <c r="F17" s="65"/>
      <c r="G17" s="65"/>
      <c r="H17" s="65"/>
      <c r="I17" s="65" t="s">
        <v>259</v>
      </c>
      <c r="J17" s="65"/>
      <c r="K17" s="65"/>
      <c r="L17" s="65" t="s">
        <v>260</v>
      </c>
      <c r="M17" s="65"/>
      <c r="N17" s="65"/>
      <c r="O17" s="65"/>
      <c r="P17" s="21" t="s">
        <v>255</v>
      </c>
      <c r="Q17" s="21" t="s">
        <v>91</v>
      </c>
      <c r="R17" s="40">
        <v>1829</v>
      </c>
      <c r="S17" s="40">
        <v>1829</v>
      </c>
      <c r="T17" s="40">
        <v>2661</v>
      </c>
      <c r="U17" s="22">
        <f>145.48</f>
        <v>145.47999999999999</v>
      </c>
    </row>
    <row r="18" spans="1:22" ht="75" customHeight="1" thickBot="1" x14ac:dyDescent="0.25">
      <c r="A18" s="16"/>
      <c r="B18" s="20" t="s">
        <v>49</v>
      </c>
      <c r="C18" s="65" t="s">
        <v>49</v>
      </c>
      <c r="D18" s="65"/>
      <c r="E18" s="65"/>
      <c r="F18" s="65"/>
      <c r="G18" s="65"/>
      <c r="H18" s="65"/>
      <c r="I18" s="65" t="s">
        <v>261</v>
      </c>
      <c r="J18" s="65"/>
      <c r="K18" s="65"/>
      <c r="L18" s="65" t="s">
        <v>262</v>
      </c>
      <c r="M18" s="65"/>
      <c r="N18" s="65"/>
      <c r="O18" s="65"/>
      <c r="P18" s="21" t="s">
        <v>255</v>
      </c>
      <c r="Q18" s="21" t="s">
        <v>85</v>
      </c>
      <c r="R18" s="40">
        <v>1875</v>
      </c>
      <c r="S18" s="40">
        <v>1875</v>
      </c>
      <c r="T18" s="40">
        <v>2661</v>
      </c>
      <c r="U18" s="22">
        <v>141.9</v>
      </c>
    </row>
    <row r="19" spans="1:22" ht="99" customHeight="1" thickTop="1" x14ac:dyDescent="0.2">
      <c r="A19" s="16"/>
      <c r="B19" s="17" t="s">
        <v>44</v>
      </c>
      <c r="C19" s="74" t="s">
        <v>263</v>
      </c>
      <c r="D19" s="74"/>
      <c r="E19" s="74"/>
      <c r="F19" s="74"/>
      <c r="G19" s="74"/>
      <c r="H19" s="74"/>
      <c r="I19" s="74" t="s">
        <v>264</v>
      </c>
      <c r="J19" s="74"/>
      <c r="K19" s="74"/>
      <c r="L19" s="74" t="s">
        <v>265</v>
      </c>
      <c r="M19" s="74"/>
      <c r="N19" s="74"/>
      <c r="O19" s="74"/>
      <c r="P19" s="18" t="s">
        <v>48</v>
      </c>
      <c r="Q19" s="18" t="s">
        <v>91</v>
      </c>
      <c r="R19" s="18">
        <v>12</v>
      </c>
      <c r="S19" s="18">
        <v>12</v>
      </c>
      <c r="T19" s="18">
        <v>0</v>
      </c>
      <c r="U19" s="19">
        <f>0</f>
        <v>0</v>
      </c>
    </row>
    <row r="20" spans="1:22" ht="99" customHeight="1" x14ac:dyDescent="0.2">
      <c r="A20" s="16"/>
      <c r="B20" s="20" t="s">
        <v>49</v>
      </c>
      <c r="C20" s="65" t="s">
        <v>49</v>
      </c>
      <c r="D20" s="65"/>
      <c r="E20" s="65"/>
      <c r="F20" s="65"/>
      <c r="G20" s="65"/>
      <c r="H20" s="65"/>
      <c r="I20" s="65" t="s">
        <v>266</v>
      </c>
      <c r="J20" s="65"/>
      <c r="K20" s="65"/>
      <c r="L20" s="65" t="s">
        <v>267</v>
      </c>
      <c r="M20" s="65"/>
      <c r="N20" s="65"/>
      <c r="O20" s="65"/>
      <c r="P20" s="21" t="s">
        <v>48</v>
      </c>
      <c r="Q20" s="21" t="s">
        <v>91</v>
      </c>
      <c r="R20" s="21">
        <v>58</v>
      </c>
      <c r="S20" s="21">
        <v>58</v>
      </c>
      <c r="T20" s="21">
        <v>90.7</v>
      </c>
      <c r="U20" s="22">
        <f>156.37</f>
        <v>156.37</v>
      </c>
    </row>
    <row r="21" spans="1:22" ht="99" customHeight="1" x14ac:dyDescent="0.2">
      <c r="A21" s="16"/>
      <c r="B21" s="20" t="s">
        <v>49</v>
      </c>
      <c r="C21" s="65" t="s">
        <v>49</v>
      </c>
      <c r="D21" s="65"/>
      <c r="E21" s="65"/>
      <c r="F21" s="65"/>
      <c r="G21" s="65"/>
      <c r="H21" s="65"/>
      <c r="I21" s="65" t="s">
        <v>268</v>
      </c>
      <c r="J21" s="65"/>
      <c r="K21" s="65"/>
      <c r="L21" s="65" t="s">
        <v>269</v>
      </c>
      <c r="M21" s="65"/>
      <c r="N21" s="65"/>
      <c r="O21" s="65"/>
      <c r="P21" s="21" t="s">
        <v>48</v>
      </c>
      <c r="Q21" s="21" t="s">
        <v>91</v>
      </c>
      <c r="R21" s="21">
        <v>8.33</v>
      </c>
      <c r="S21" s="21">
        <v>8.33</v>
      </c>
      <c r="T21" s="21">
        <v>0</v>
      </c>
      <c r="U21" s="22">
        <f>0</f>
        <v>0</v>
      </c>
    </row>
    <row r="22" spans="1:22" ht="99" customHeight="1" x14ac:dyDescent="0.2">
      <c r="A22" s="16"/>
      <c r="B22" s="20" t="s">
        <v>49</v>
      </c>
      <c r="C22" s="65" t="s">
        <v>49</v>
      </c>
      <c r="D22" s="65"/>
      <c r="E22" s="65"/>
      <c r="F22" s="65"/>
      <c r="G22" s="65"/>
      <c r="H22" s="65"/>
      <c r="I22" s="65" t="s">
        <v>270</v>
      </c>
      <c r="J22" s="65"/>
      <c r="K22" s="65"/>
      <c r="L22" s="65" t="s">
        <v>271</v>
      </c>
      <c r="M22" s="65"/>
      <c r="N22" s="65"/>
      <c r="O22" s="65"/>
      <c r="P22" s="21" t="s">
        <v>48</v>
      </c>
      <c r="Q22" s="21" t="s">
        <v>91</v>
      </c>
      <c r="R22" s="21">
        <v>34.46</v>
      </c>
      <c r="S22" s="21">
        <v>34.619999999999997</v>
      </c>
      <c r="T22" s="21">
        <v>51.12</v>
      </c>
      <c r="U22" s="22">
        <f>147.68</f>
        <v>147.68</v>
      </c>
    </row>
    <row r="23" spans="1:22" ht="85.5" customHeight="1" x14ac:dyDescent="0.2">
      <c r="A23" s="16"/>
      <c r="B23" s="20" t="s">
        <v>49</v>
      </c>
      <c r="C23" s="65" t="s">
        <v>49</v>
      </c>
      <c r="D23" s="65"/>
      <c r="E23" s="65"/>
      <c r="F23" s="65"/>
      <c r="G23" s="65"/>
      <c r="H23" s="65"/>
      <c r="I23" s="65" t="s">
        <v>272</v>
      </c>
      <c r="J23" s="65"/>
      <c r="K23" s="65"/>
      <c r="L23" s="65" t="s">
        <v>273</v>
      </c>
      <c r="M23" s="65"/>
      <c r="N23" s="65"/>
      <c r="O23" s="65"/>
      <c r="P23" s="21" t="s">
        <v>48</v>
      </c>
      <c r="Q23" s="21" t="s">
        <v>91</v>
      </c>
      <c r="R23" s="21">
        <v>12.8</v>
      </c>
      <c r="S23" s="21">
        <v>12.8</v>
      </c>
      <c r="T23" s="21">
        <v>17.510000000000002</v>
      </c>
      <c r="U23" s="22">
        <v>136.79</v>
      </c>
    </row>
    <row r="24" spans="1:22" ht="88.5" customHeight="1" thickBot="1" x14ac:dyDescent="0.25">
      <c r="A24" s="16"/>
      <c r="B24" s="20" t="s">
        <v>49</v>
      </c>
      <c r="C24" s="65" t="s">
        <v>49</v>
      </c>
      <c r="D24" s="65"/>
      <c r="E24" s="65"/>
      <c r="F24" s="65"/>
      <c r="G24" s="65"/>
      <c r="H24" s="65"/>
      <c r="I24" s="65" t="s">
        <v>274</v>
      </c>
      <c r="J24" s="65"/>
      <c r="K24" s="65"/>
      <c r="L24" s="65" t="s">
        <v>275</v>
      </c>
      <c r="M24" s="65"/>
      <c r="N24" s="65"/>
      <c r="O24" s="65"/>
      <c r="P24" s="21" t="s">
        <v>48</v>
      </c>
      <c r="Q24" s="21" t="s">
        <v>91</v>
      </c>
      <c r="R24" s="21" t="s">
        <v>80</v>
      </c>
      <c r="S24" s="21">
        <v>40</v>
      </c>
      <c r="T24" s="21">
        <v>67.75</v>
      </c>
      <c r="U24" s="22">
        <f>169.37</f>
        <v>169.37</v>
      </c>
    </row>
    <row r="25" spans="1:22" ht="14.25" customHeight="1" thickTop="1" thickBot="1" x14ac:dyDescent="0.25">
      <c r="B25" s="4" t="s">
        <v>58</v>
      </c>
      <c r="C25" s="5"/>
      <c r="D25" s="5"/>
      <c r="E25" s="5"/>
      <c r="F25" s="5"/>
      <c r="G25" s="5"/>
      <c r="H25" s="6"/>
      <c r="I25" s="6"/>
      <c r="J25" s="6"/>
      <c r="K25" s="6"/>
      <c r="L25" s="6"/>
      <c r="M25" s="6"/>
      <c r="N25" s="6"/>
      <c r="O25" s="6"/>
      <c r="P25" s="6"/>
      <c r="Q25" s="6"/>
      <c r="R25" s="6"/>
      <c r="S25" s="6"/>
      <c r="T25" s="6"/>
      <c r="U25" s="7"/>
      <c r="V25" s="23"/>
    </row>
    <row r="26" spans="1:22" ht="26.25" customHeight="1" thickTop="1" x14ac:dyDescent="0.2">
      <c r="B26" s="24"/>
      <c r="C26" s="25"/>
      <c r="D26" s="25"/>
      <c r="E26" s="25"/>
      <c r="F26" s="25"/>
      <c r="G26" s="25"/>
      <c r="H26" s="26"/>
      <c r="I26" s="26"/>
      <c r="J26" s="26"/>
      <c r="K26" s="26"/>
      <c r="L26" s="26"/>
      <c r="M26" s="26"/>
      <c r="N26" s="26"/>
      <c r="O26" s="26"/>
      <c r="P26" s="26"/>
      <c r="Q26" s="26"/>
      <c r="R26" s="27"/>
      <c r="S26" s="28" t="s">
        <v>33</v>
      </c>
      <c r="T26" s="28" t="s">
        <v>59</v>
      </c>
      <c r="U26" s="13" t="s">
        <v>60</v>
      </c>
    </row>
    <row r="27" spans="1:22" ht="33.75" customHeight="1" thickBot="1" x14ac:dyDescent="0.25">
      <c r="B27" s="29"/>
      <c r="C27" s="30"/>
      <c r="D27" s="30"/>
      <c r="E27" s="30"/>
      <c r="F27" s="30"/>
      <c r="G27" s="30"/>
      <c r="H27" s="31"/>
      <c r="I27" s="31"/>
      <c r="J27" s="31"/>
      <c r="K27" s="31"/>
      <c r="L27" s="31"/>
      <c r="M27" s="31"/>
      <c r="N27" s="31"/>
      <c r="O27" s="31"/>
      <c r="P27" s="31"/>
      <c r="Q27" s="31"/>
      <c r="R27" s="31"/>
      <c r="S27" s="32" t="s">
        <v>61</v>
      </c>
      <c r="T27" s="33" t="s">
        <v>61</v>
      </c>
      <c r="U27" s="33" t="s">
        <v>62</v>
      </c>
    </row>
    <row r="28" spans="1:22" ht="19.5" customHeight="1" thickBot="1" x14ac:dyDescent="0.25">
      <c r="B28" s="67" t="s">
        <v>63</v>
      </c>
      <c r="C28" s="68"/>
      <c r="D28" s="68"/>
      <c r="E28" s="34"/>
      <c r="F28" s="34"/>
      <c r="G28" s="34"/>
      <c r="H28" s="35"/>
      <c r="I28" s="35"/>
      <c r="J28" s="35"/>
      <c r="K28" s="35"/>
      <c r="L28" s="35"/>
      <c r="M28" s="35"/>
      <c r="N28" s="35"/>
      <c r="O28" s="35"/>
      <c r="P28" s="36"/>
      <c r="Q28" s="36"/>
      <c r="R28" s="36"/>
      <c r="S28" s="53">
        <v>414.14052400000003</v>
      </c>
      <c r="T28" s="53">
        <v>408.19472450000001</v>
      </c>
      <c r="U28" s="54">
        <f>+IF(ISERR(T28/S28*100),"N/A",ROUND(T28/S28*100,1))</f>
        <v>98.6</v>
      </c>
    </row>
    <row r="29" spans="1:22" ht="19.5" customHeight="1" thickBot="1" x14ac:dyDescent="0.25">
      <c r="B29" s="69" t="s">
        <v>64</v>
      </c>
      <c r="C29" s="70"/>
      <c r="D29" s="70"/>
      <c r="E29" s="37"/>
      <c r="F29" s="37"/>
      <c r="G29" s="37"/>
      <c r="H29" s="38"/>
      <c r="I29" s="38"/>
      <c r="J29" s="38"/>
      <c r="K29" s="38"/>
      <c r="L29" s="38"/>
      <c r="M29" s="38"/>
      <c r="N29" s="38"/>
      <c r="O29" s="38"/>
      <c r="P29" s="39"/>
      <c r="Q29" s="39"/>
      <c r="R29" s="39"/>
      <c r="S29" s="53">
        <v>408.20198616000005</v>
      </c>
      <c r="T29" s="53">
        <v>408.19472450000001</v>
      </c>
      <c r="U29" s="54">
        <f>+IF(ISERR(T29/S29*100),"N/A",ROUND(T29/S29*100,1))</f>
        <v>100</v>
      </c>
    </row>
    <row r="30" spans="1:22" ht="14.85" customHeight="1" thickTop="1" thickBot="1" x14ac:dyDescent="0.25">
      <c r="B30" s="4" t="s">
        <v>65</v>
      </c>
      <c r="C30" s="5"/>
      <c r="D30" s="5"/>
      <c r="E30" s="5"/>
      <c r="F30" s="5"/>
      <c r="G30" s="5"/>
      <c r="H30" s="6"/>
      <c r="I30" s="6"/>
      <c r="J30" s="6"/>
      <c r="K30" s="6"/>
      <c r="L30" s="6"/>
      <c r="M30" s="6"/>
      <c r="N30" s="6"/>
      <c r="O30" s="6"/>
      <c r="P30" s="6"/>
      <c r="Q30" s="6"/>
      <c r="R30" s="6"/>
      <c r="S30" s="6"/>
      <c r="T30" s="6"/>
      <c r="U30" s="7"/>
    </row>
    <row r="31" spans="1:22" ht="44.25" customHeight="1" thickTop="1" x14ac:dyDescent="0.2">
      <c r="B31" s="71" t="s">
        <v>66</v>
      </c>
      <c r="C31" s="72"/>
      <c r="D31" s="72"/>
      <c r="E31" s="72"/>
      <c r="F31" s="72"/>
      <c r="G31" s="72"/>
      <c r="H31" s="72"/>
      <c r="I31" s="72"/>
      <c r="J31" s="72"/>
      <c r="K31" s="72"/>
      <c r="L31" s="72"/>
      <c r="M31" s="72"/>
      <c r="N31" s="72"/>
      <c r="O31" s="72"/>
      <c r="P31" s="72"/>
      <c r="Q31" s="72"/>
      <c r="R31" s="72"/>
      <c r="S31" s="72"/>
      <c r="T31" s="72"/>
      <c r="U31" s="73"/>
    </row>
    <row r="32" spans="1:22" ht="62.25" customHeight="1" x14ac:dyDescent="0.2">
      <c r="B32" s="59" t="s">
        <v>276</v>
      </c>
      <c r="C32" s="60"/>
      <c r="D32" s="60"/>
      <c r="E32" s="60"/>
      <c r="F32" s="60"/>
      <c r="G32" s="60"/>
      <c r="H32" s="60"/>
      <c r="I32" s="60"/>
      <c r="J32" s="60"/>
      <c r="K32" s="60"/>
      <c r="L32" s="60"/>
      <c r="M32" s="60"/>
      <c r="N32" s="60"/>
      <c r="O32" s="60"/>
      <c r="P32" s="60"/>
      <c r="Q32" s="60"/>
      <c r="R32" s="60"/>
      <c r="S32" s="60"/>
      <c r="T32" s="60"/>
      <c r="U32" s="61"/>
    </row>
    <row r="33" spans="2:21" ht="123.2" customHeight="1" x14ac:dyDescent="0.2">
      <c r="B33" s="59" t="s">
        <v>277</v>
      </c>
      <c r="C33" s="60"/>
      <c r="D33" s="60"/>
      <c r="E33" s="60"/>
      <c r="F33" s="60"/>
      <c r="G33" s="60"/>
      <c r="H33" s="60"/>
      <c r="I33" s="60"/>
      <c r="J33" s="60"/>
      <c r="K33" s="60"/>
      <c r="L33" s="60"/>
      <c r="M33" s="60"/>
      <c r="N33" s="60"/>
      <c r="O33" s="60"/>
      <c r="P33" s="60"/>
      <c r="Q33" s="60"/>
      <c r="R33" s="60"/>
      <c r="S33" s="60"/>
      <c r="T33" s="60"/>
      <c r="U33" s="61"/>
    </row>
    <row r="34" spans="2:21" ht="72.75" customHeight="1" x14ac:dyDescent="0.2">
      <c r="B34" s="59" t="s">
        <v>278</v>
      </c>
      <c r="C34" s="60"/>
      <c r="D34" s="60"/>
      <c r="E34" s="60"/>
      <c r="F34" s="60"/>
      <c r="G34" s="60"/>
      <c r="H34" s="60"/>
      <c r="I34" s="60"/>
      <c r="J34" s="60"/>
      <c r="K34" s="60"/>
      <c r="L34" s="60"/>
      <c r="M34" s="60"/>
      <c r="N34" s="60"/>
      <c r="O34" s="60"/>
      <c r="P34" s="60"/>
      <c r="Q34" s="60"/>
      <c r="R34" s="60"/>
      <c r="S34" s="60"/>
      <c r="T34" s="60"/>
      <c r="U34" s="61"/>
    </row>
    <row r="35" spans="2:21" ht="71.25" customHeight="1" x14ac:dyDescent="0.2">
      <c r="B35" s="59" t="s">
        <v>279</v>
      </c>
      <c r="C35" s="60"/>
      <c r="D35" s="60"/>
      <c r="E35" s="60"/>
      <c r="F35" s="60"/>
      <c r="G35" s="60"/>
      <c r="H35" s="60"/>
      <c r="I35" s="60"/>
      <c r="J35" s="60"/>
      <c r="K35" s="60"/>
      <c r="L35" s="60"/>
      <c r="M35" s="60"/>
      <c r="N35" s="60"/>
      <c r="O35" s="60"/>
      <c r="P35" s="60"/>
      <c r="Q35" s="60"/>
      <c r="R35" s="60"/>
      <c r="S35" s="60"/>
      <c r="T35" s="60"/>
      <c r="U35" s="61"/>
    </row>
    <row r="36" spans="2:21" ht="74.25" customHeight="1" x14ac:dyDescent="0.2">
      <c r="B36" s="59" t="s">
        <v>280</v>
      </c>
      <c r="C36" s="60"/>
      <c r="D36" s="60"/>
      <c r="E36" s="60"/>
      <c r="F36" s="60"/>
      <c r="G36" s="60"/>
      <c r="H36" s="60"/>
      <c r="I36" s="60"/>
      <c r="J36" s="60"/>
      <c r="K36" s="60"/>
      <c r="L36" s="60"/>
      <c r="M36" s="60"/>
      <c r="N36" s="60"/>
      <c r="O36" s="60"/>
      <c r="P36" s="60"/>
      <c r="Q36" s="60"/>
      <c r="R36" s="60"/>
      <c r="S36" s="60"/>
      <c r="T36" s="60"/>
      <c r="U36" s="61"/>
    </row>
    <row r="37" spans="2:21" ht="72.75" customHeight="1" x14ac:dyDescent="0.2">
      <c r="B37" s="59" t="s">
        <v>281</v>
      </c>
      <c r="C37" s="60"/>
      <c r="D37" s="60"/>
      <c r="E37" s="60"/>
      <c r="F37" s="60"/>
      <c r="G37" s="60"/>
      <c r="H37" s="60"/>
      <c r="I37" s="60"/>
      <c r="J37" s="60"/>
      <c r="K37" s="60"/>
      <c r="L37" s="60"/>
      <c r="M37" s="60"/>
      <c r="N37" s="60"/>
      <c r="O37" s="60"/>
      <c r="P37" s="60"/>
      <c r="Q37" s="60"/>
      <c r="R37" s="60"/>
      <c r="S37" s="60"/>
      <c r="T37" s="60"/>
      <c r="U37" s="61"/>
    </row>
    <row r="38" spans="2:21" ht="78" customHeight="1" x14ac:dyDescent="0.2">
      <c r="B38" s="59" t="s">
        <v>282</v>
      </c>
      <c r="C38" s="60"/>
      <c r="D38" s="60"/>
      <c r="E38" s="60"/>
      <c r="F38" s="60"/>
      <c r="G38" s="60"/>
      <c r="H38" s="60"/>
      <c r="I38" s="60"/>
      <c r="J38" s="60"/>
      <c r="K38" s="60"/>
      <c r="L38" s="60"/>
      <c r="M38" s="60"/>
      <c r="N38" s="60"/>
      <c r="O38" s="60"/>
      <c r="P38" s="60"/>
      <c r="Q38" s="60"/>
      <c r="R38" s="60"/>
      <c r="S38" s="60"/>
      <c r="T38" s="60"/>
      <c r="U38" s="61"/>
    </row>
    <row r="39" spans="2:21" ht="84" customHeight="1" x14ac:dyDescent="0.2">
      <c r="B39" s="59" t="s">
        <v>283</v>
      </c>
      <c r="C39" s="60"/>
      <c r="D39" s="60"/>
      <c r="E39" s="60"/>
      <c r="F39" s="60"/>
      <c r="G39" s="60"/>
      <c r="H39" s="60"/>
      <c r="I39" s="60"/>
      <c r="J39" s="60"/>
      <c r="K39" s="60"/>
      <c r="L39" s="60"/>
      <c r="M39" s="60"/>
      <c r="N39" s="60"/>
      <c r="O39" s="60"/>
      <c r="P39" s="60"/>
      <c r="Q39" s="60"/>
      <c r="R39" s="60"/>
      <c r="S39" s="60"/>
      <c r="T39" s="60"/>
      <c r="U39" s="61"/>
    </row>
    <row r="40" spans="2:21" ht="84" customHeight="1" x14ac:dyDescent="0.2">
      <c r="B40" s="59" t="s">
        <v>284</v>
      </c>
      <c r="C40" s="60"/>
      <c r="D40" s="60"/>
      <c r="E40" s="60"/>
      <c r="F40" s="60"/>
      <c r="G40" s="60"/>
      <c r="H40" s="60"/>
      <c r="I40" s="60"/>
      <c r="J40" s="60"/>
      <c r="K40" s="60"/>
      <c r="L40" s="60"/>
      <c r="M40" s="60"/>
      <c r="N40" s="60"/>
      <c r="O40" s="60"/>
      <c r="P40" s="60"/>
      <c r="Q40" s="60"/>
      <c r="R40" s="60"/>
      <c r="S40" s="60"/>
      <c r="T40" s="60"/>
      <c r="U40" s="61"/>
    </row>
    <row r="41" spans="2:21" ht="84" customHeight="1" x14ac:dyDescent="0.2">
      <c r="B41" s="59" t="s">
        <v>285</v>
      </c>
      <c r="C41" s="60"/>
      <c r="D41" s="60"/>
      <c r="E41" s="60"/>
      <c r="F41" s="60"/>
      <c r="G41" s="60"/>
      <c r="H41" s="60"/>
      <c r="I41" s="60"/>
      <c r="J41" s="60"/>
      <c r="K41" s="60"/>
      <c r="L41" s="60"/>
      <c r="M41" s="60"/>
      <c r="N41" s="60"/>
      <c r="O41" s="60"/>
      <c r="P41" s="60"/>
      <c r="Q41" s="60"/>
      <c r="R41" s="60"/>
      <c r="S41" s="60"/>
      <c r="T41" s="60"/>
      <c r="U41" s="61"/>
    </row>
    <row r="42" spans="2:21" ht="84" customHeight="1" x14ac:dyDescent="0.2">
      <c r="B42" s="59" t="s">
        <v>286</v>
      </c>
      <c r="C42" s="60"/>
      <c r="D42" s="60"/>
      <c r="E42" s="60"/>
      <c r="F42" s="60"/>
      <c r="G42" s="60"/>
      <c r="H42" s="60"/>
      <c r="I42" s="60"/>
      <c r="J42" s="60"/>
      <c r="K42" s="60"/>
      <c r="L42" s="60"/>
      <c r="M42" s="60"/>
      <c r="N42" s="60"/>
      <c r="O42" s="60"/>
      <c r="P42" s="60"/>
      <c r="Q42" s="60"/>
      <c r="R42" s="60"/>
      <c r="S42" s="60"/>
      <c r="T42" s="60"/>
      <c r="U42" s="61"/>
    </row>
    <row r="43" spans="2:21" ht="84" customHeight="1" x14ac:dyDescent="0.2">
      <c r="B43" s="59" t="s">
        <v>287</v>
      </c>
      <c r="C43" s="60"/>
      <c r="D43" s="60"/>
      <c r="E43" s="60"/>
      <c r="F43" s="60"/>
      <c r="G43" s="60"/>
      <c r="H43" s="60"/>
      <c r="I43" s="60"/>
      <c r="J43" s="60"/>
      <c r="K43" s="60"/>
      <c r="L43" s="60"/>
      <c r="M43" s="60"/>
      <c r="N43" s="60"/>
      <c r="O43" s="60"/>
      <c r="P43" s="60"/>
      <c r="Q43" s="60"/>
      <c r="R43" s="60"/>
      <c r="S43" s="60"/>
      <c r="T43" s="60"/>
      <c r="U43" s="61"/>
    </row>
    <row r="44" spans="2:21" ht="84" customHeight="1" x14ac:dyDescent="0.2">
      <c r="B44" s="59" t="s">
        <v>288</v>
      </c>
      <c r="C44" s="60"/>
      <c r="D44" s="60"/>
      <c r="E44" s="60"/>
      <c r="F44" s="60"/>
      <c r="G44" s="60"/>
      <c r="H44" s="60"/>
      <c r="I44" s="60"/>
      <c r="J44" s="60"/>
      <c r="K44" s="60"/>
      <c r="L44" s="60"/>
      <c r="M44" s="60"/>
      <c r="N44" s="60"/>
      <c r="O44" s="60"/>
      <c r="P44" s="60"/>
      <c r="Q44" s="60"/>
      <c r="R44" s="60"/>
      <c r="S44" s="60"/>
      <c r="T44" s="60"/>
      <c r="U44" s="61"/>
    </row>
    <row r="45" spans="2:21" ht="84" customHeight="1" thickBot="1" x14ac:dyDescent="0.25">
      <c r="B45" s="62" t="s">
        <v>289</v>
      </c>
      <c r="C45" s="63"/>
      <c r="D45" s="63"/>
      <c r="E45" s="63"/>
      <c r="F45" s="63"/>
      <c r="G45" s="63"/>
      <c r="H45" s="63"/>
      <c r="I45" s="63"/>
      <c r="J45" s="63"/>
      <c r="K45" s="63"/>
      <c r="L45" s="63"/>
      <c r="M45" s="63"/>
      <c r="N45" s="63"/>
      <c r="O45" s="63"/>
      <c r="P45" s="63"/>
      <c r="Q45" s="63"/>
      <c r="R45" s="63"/>
      <c r="S45" s="63"/>
      <c r="T45" s="63"/>
      <c r="U45" s="64"/>
    </row>
  </sheetData>
  <mergeCells count="80">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C18:H18"/>
    <mergeCell ref="I18:K18"/>
    <mergeCell ref="L18:O18"/>
    <mergeCell ref="C19:H19"/>
    <mergeCell ref="I19:K19"/>
    <mergeCell ref="L19:O19"/>
    <mergeCell ref="C20:H20"/>
    <mergeCell ref="I20:K20"/>
    <mergeCell ref="L20:O20"/>
    <mergeCell ref="C21:H21"/>
    <mergeCell ref="I21:K21"/>
    <mergeCell ref="L21:O21"/>
    <mergeCell ref="C22:H22"/>
    <mergeCell ref="I22:K22"/>
    <mergeCell ref="L22:O22"/>
    <mergeCell ref="C23:H23"/>
    <mergeCell ref="I23:K23"/>
    <mergeCell ref="L23:O23"/>
    <mergeCell ref="B37:U37"/>
    <mergeCell ref="C24:H24"/>
    <mergeCell ref="I24:K24"/>
    <mergeCell ref="L24:O24"/>
    <mergeCell ref="B28:D28"/>
    <mergeCell ref="B29:D29"/>
    <mergeCell ref="B31:U31"/>
    <mergeCell ref="B32:U32"/>
    <mergeCell ref="B33:U33"/>
    <mergeCell ref="B34:U34"/>
    <mergeCell ref="B35:U35"/>
    <mergeCell ref="B36:U36"/>
    <mergeCell ref="B44:U44"/>
    <mergeCell ref="B45:U45"/>
    <mergeCell ref="B38:U38"/>
    <mergeCell ref="B39:U39"/>
    <mergeCell ref="B40:U40"/>
    <mergeCell ref="B41:U41"/>
    <mergeCell ref="B42:U42"/>
    <mergeCell ref="B43:U43"/>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8"/>
  <sheetViews>
    <sheetView zoomScale="90" zoomScaleNormal="90" zoomScaleSheetLayoutView="80" workbookViewId="0"/>
  </sheetViews>
  <sheetFormatPr baseColWidth="10" defaultColWidth="10" defaultRowHeight="12.75" x14ac:dyDescent="0.2"/>
  <cols>
    <col min="1" max="1" width="3.5" style="1" customWidth="1"/>
    <col min="2" max="2" width="14.6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8.62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375" style="1" customWidth="1"/>
    <col min="19" max="19" width="13" style="1" customWidth="1"/>
    <col min="20" max="20" width="10.75" style="1" customWidth="1"/>
    <col min="21" max="21" width="12.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5" t="s">
        <v>0</v>
      </c>
      <c r="C1" s="55"/>
      <c r="D1" s="55"/>
      <c r="E1" s="55"/>
      <c r="F1" s="55"/>
      <c r="G1" s="55"/>
      <c r="H1" s="55"/>
      <c r="I1" s="55"/>
      <c r="J1" s="55"/>
      <c r="K1" s="55"/>
      <c r="L1" s="55"/>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42" t="s">
        <v>6</v>
      </c>
      <c r="C4" s="43" t="s">
        <v>290</v>
      </c>
      <c r="D4" s="102" t="s">
        <v>291</v>
      </c>
      <c r="E4" s="102"/>
      <c r="F4" s="102"/>
      <c r="G4" s="102"/>
      <c r="H4" s="102"/>
      <c r="I4" s="44"/>
      <c r="J4" s="45" t="s">
        <v>9</v>
      </c>
      <c r="K4" s="46" t="s">
        <v>10</v>
      </c>
      <c r="L4" s="103" t="s">
        <v>11</v>
      </c>
      <c r="M4" s="103"/>
      <c r="N4" s="103"/>
      <c r="O4" s="103"/>
      <c r="P4" s="45" t="s">
        <v>12</v>
      </c>
      <c r="Q4" s="103" t="s">
        <v>292</v>
      </c>
      <c r="R4" s="103"/>
      <c r="S4" s="45" t="s">
        <v>14</v>
      </c>
      <c r="T4" s="103" t="s">
        <v>156</v>
      </c>
      <c r="U4" s="104"/>
    </row>
    <row r="5" spans="1:21" ht="15.75" customHeight="1" x14ac:dyDescent="0.2">
      <c r="B5" s="99" t="s">
        <v>15</v>
      </c>
      <c r="C5" s="100"/>
      <c r="D5" s="100"/>
      <c r="E5" s="100"/>
      <c r="F5" s="100"/>
      <c r="G5" s="100"/>
      <c r="H5" s="100"/>
      <c r="I5" s="100"/>
      <c r="J5" s="100"/>
      <c r="K5" s="100"/>
      <c r="L5" s="100"/>
      <c r="M5" s="100"/>
      <c r="N5" s="100"/>
      <c r="O5" s="100"/>
      <c r="P5" s="100"/>
      <c r="Q5" s="100"/>
      <c r="R5" s="100"/>
      <c r="S5" s="100"/>
      <c r="T5" s="100"/>
      <c r="U5" s="101"/>
    </row>
    <row r="6" spans="1:21" ht="57.75" customHeight="1" thickBot="1" x14ac:dyDescent="0.25">
      <c r="B6" s="47" t="s">
        <v>16</v>
      </c>
      <c r="C6" s="76" t="s">
        <v>17</v>
      </c>
      <c r="D6" s="76"/>
      <c r="E6" s="76"/>
      <c r="F6" s="76"/>
      <c r="G6" s="76"/>
      <c r="H6" s="48"/>
      <c r="I6" s="48"/>
      <c r="J6" s="48" t="s">
        <v>18</v>
      </c>
      <c r="K6" s="76" t="s">
        <v>19</v>
      </c>
      <c r="L6" s="76"/>
      <c r="M6" s="76"/>
      <c r="N6" s="49"/>
      <c r="O6" s="48" t="s">
        <v>20</v>
      </c>
      <c r="P6" s="76" t="s">
        <v>21</v>
      </c>
      <c r="Q6" s="76"/>
      <c r="R6" s="50"/>
      <c r="S6" s="48" t="s">
        <v>22</v>
      </c>
      <c r="T6" s="76" t="s">
        <v>293</v>
      </c>
      <c r="U6" s="77"/>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8" t="s">
        <v>25</v>
      </c>
      <c r="C8" s="81" t="s">
        <v>26</v>
      </c>
      <c r="D8" s="81"/>
      <c r="E8" s="81"/>
      <c r="F8" s="81"/>
      <c r="G8" s="81"/>
      <c r="H8" s="82"/>
      <c r="I8" s="87" t="s">
        <v>27</v>
      </c>
      <c r="J8" s="88"/>
      <c r="K8" s="88"/>
      <c r="L8" s="88"/>
      <c r="M8" s="88"/>
      <c r="N8" s="88"/>
      <c r="O8" s="88"/>
      <c r="P8" s="88"/>
      <c r="Q8" s="88"/>
      <c r="R8" s="88"/>
      <c r="S8" s="89"/>
      <c r="T8" s="90" t="s">
        <v>28</v>
      </c>
      <c r="U8" s="91"/>
    </row>
    <row r="9" spans="1:21" ht="19.5" customHeight="1" x14ac:dyDescent="0.2">
      <c r="B9" s="79"/>
      <c r="C9" s="83"/>
      <c r="D9" s="83"/>
      <c r="E9" s="83"/>
      <c r="F9" s="83"/>
      <c r="G9" s="83"/>
      <c r="H9" s="84"/>
      <c r="I9" s="92" t="s">
        <v>29</v>
      </c>
      <c r="J9" s="81"/>
      <c r="K9" s="81"/>
      <c r="L9" s="81" t="s">
        <v>30</v>
      </c>
      <c r="M9" s="81"/>
      <c r="N9" s="81"/>
      <c r="O9" s="81"/>
      <c r="P9" s="81" t="s">
        <v>31</v>
      </c>
      <c r="Q9" s="81" t="s">
        <v>32</v>
      </c>
      <c r="R9" s="95" t="s">
        <v>33</v>
      </c>
      <c r="S9" s="96"/>
      <c r="T9" s="81" t="s">
        <v>34</v>
      </c>
      <c r="U9" s="97" t="s">
        <v>35</v>
      </c>
    </row>
    <row r="10" spans="1:21" ht="26.25" customHeight="1" thickBot="1" x14ac:dyDescent="0.25">
      <c r="B10" s="80"/>
      <c r="C10" s="85"/>
      <c r="D10" s="85"/>
      <c r="E10" s="85"/>
      <c r="F10" s="85"/>
      <c r="G10" s="85"/>
      <c r="H10" s="86"/>
      <c r="I10" s="93"/>
      <c r="J10" s="94"/>
      <c r="K10" s="94"/>
      <c r="L10" s="94"/>
      <c r="M10" s="94"/>
      <c r="N10" s="94"/>
      <c r="O10" s="94"/>
      <c r="P10" s="94"/>
      <c r="Q10" s="94"/>
      <c r="R10" s="14" t="s">
        <v>36</v>
      </c>
      <c r="S10" s="15" t="s">
        <v>37</v>
      </c>
      <c r="T10" s="94"/>
      <c r="U10" s="98"/>
    </row>
    <row r="11" spans="1:21" ht="94.5" customHeight="1" thickTop="1" thickBot="1" x14ac:dyDescent="0.25">
      <c r="A11" s="16"/>
      <c r="B11" s="17" t="s">
        <v>75</v>
      </c>
      <c r="C11" s="74" t="s">
        <v>294</v>
      </c>
      <c r="D11" s="74"/>
      <c r="E11" s="74"/>
      <c r="F11" s="74"/>
      <c r="G11" s="74"/>
      <c r="H11" s="74"/>
      <c r="I11" s="75" t="s">
        <v>295</v>
      </c>
      <c r="J11" s="75"/>
      <c r="K11" s="75"/>
      <c r="L11" s="75" t="s">
        <v>296</v>
      </c>
      <c r="M11" s="75"/>
      <c r="N11" s="75"/>
      <c r="O11" s="75"/>
      <c r="P11" s="18" t="s">
        <v>48</v>
      </c>
      <c r="Q11" s="18" t="s">
        <v>297</v>
      </c>
      <c r="R11" s="18">
        <v>90</v>
      </c>
      <c r="S11" s="18">
        <v>90</v>
      </c>
      <c r="T11" s="18">
        <v>0</v>
      </c>
      <c r="U11" s="51">
        <f>0</f>
        <v>0</v>
      </c>
    </row>
    <row r="12" spans="1:21" ht="87" customHeight="1" thickTop="1" x14ac:dyDescent="0.2">
      <c r="A12" s="16"/>
      <c r="B12" s="17" t="s">
        <v>81</v>
      </c>
      <c r="C12" s="74" t="s">
        <v>298</v>
      </c>
      <c r="D12" s="74"/>
      <c r="E12" s="74"/>
      <c r="F12" s="74"/>
      <c r="G12" s="74"/>
      <c r="H12" s="74"/>
      <c r="I12" s="75" t="s">
        <v>299</v>
      </c>
      <c r="J12" s="75"/>
      <c r="K12" s="75"/>
      <c r="L12" s="75" t="s">
        <v>300</v>
      </c>
      <c r="M12" s="75"/>
      <c r="N12" s="75"/>
      <c r="O12" s="75"/>
      <c r="P12" s="18" t="s">
        <v>48</v>
      </c>
      <c r="Q12" s="18" t="s">
        <v>165</v>
      </c>
      <c r="R12" s="18">
        <v>35</v>
      </c>
      <c r="S12" s="18">
        <v>35</v>
      </c>
      <c r="T12" s="18">
        <v>0</v>
      </c>
      <c r="U12" s="51">
        <f>0</f>
        <v>0</v>
      </c>
    </row>
    <row r="13" spans="1:21" ht="87" customHeight="1" x14ac:dyDescent="0.2">
      <c r="A13" s="16"/>
      <c r="B13" s="20" t="s">
        <v>49</v>
      </c>
      <c r="C13" s="65" t="s">
        <v>49</v>
      </c>
      <c r="D13" s="65"/>
      <c r="E13" s="65"/>
      <c r="F13" s="65"/>
      <c r="G13" s="65"/>
      <c r="H13" s="65"/>
      <c r="I13" s="66" t="s">
        <v>301</v>
      </c>
      <c r="J13" s="66"/>
      <c r="K13" s="66"/>
      <c r="L13" s="66" t="s">
        <v>302</v>
      </c>
      <c r="M13" s="66"/>
      <c r="N13" s="66"/>
      <c r="O13" s="66"/>
      <c r="P13" s="21" t="s">
        <v>48</v>
      </c>
      <c r="Q13" s="21" t="s">
        <v>165</v>
      </c>
      <c r="R13" s="21">
        <v>75</v>
      </c>
      <c r="S13" s="21">
        <v>75</v>
      </c>
      <c r="T13" s="21">
        <v>0</v>
      </c>
      <c r="U13" s="22">
        <f>0</f>
        <v>0</v>
      </c>
    </row>
    <row r="14" spans="1:21" ht="87" customHeight="1" x14ac:dyDescent="0.2">
      <c r="A14" s="16"/>
      <c r="B14" s="20" t="s">
        <v>49</v>
      </c>
      <c r="C14" s="65" t="s">
        <v>49</v>
      </c>
      <c r="D14" s="65"/>
      <c r="E14" s="65"/>
      <c r="F14" s="65"/>
      <c r="G14" s="65"/>
      <c r="H14" s="65"/>
      <c r="I14" s="66" t="s">
        <v>303</v>
      </c>
      <c r="J14" s="66"/>
      <c r="K14" s="66"/>
      <c r="L14" s="66" t="s">
        <v>304</v>
      </c>
      <c r="M14" s="66"/>
      <c r="N14" s="66"/>
      <c r="O14" s="66"/>
      <c r="P14" s="21" t="s">
        <v>48</v>
      </c>
      <c r="Q14" s="21" t="s">
        <v>165</v>
      </c>
      <c r="R14" s="21">
        <v>80</v>
      </c>
      <c r="S14" s="21">
        <v>80</v>
      </c>
      <c r="T14" s="21">
        <v>0</v>
      </c>
      <c r="U14" s="22">
        <f>0</f>
        <v>0</v>
      </c>
    </row>
    <row r="15" spans="1:21" ht="87" customHeight="1" x14ac:dyDescent="0.2">
      <c r="A15" s="16"/>
      <c r="B15" s="20" t="s">
        <v>49</v>
      </c>
      <c r="C15" s="65" t="s">
        <v>49</v>
      </c>
      <c r="D15" s="65"/>
      <c r="E15" s="65"/>
      <c r="F15" s="65"/>
      <c r="G15" s="65"/>
      <c r="H15" s="65"/>
      <c r="I15" s="66" t="s">
        <v>305</v>
      </c>
      <c r="J15" s="66"/>
      <c r="K15" s="66"/>
      <c r="L15" s="66" t="s">
        <v>306</v>
      </c>
      <c r="M15" s="66"/>
      <c r="N15" s="66"/>
      <c r="O15" s="66"/>
      <c r="P15" s="21" t="s">
        <v>48</v>
      </c>
      <c r="Q15" s="21" t="s">
        <v>165</v>
      </c>
      <c r="R15" s="21">
        <v>100</v>
      </c>
      <c r="S15" s="21">
        <v>100</v>
      </c>
      <c r="T15" s="21">
        <v>0</v>
      </c>
      <c r="U15" s="22">
        <f>0</f>
        <v>0</v>
      </c>
    </row>
    <row r="16" spans="1:21" ht="87" customHeight="1" thickBot="1" x14ac:dyDescent="0.25">
      <c r="A16" s="16"/>
      <c r="B16" s="20" t="s">
        <v>49</v>
      </c>
      <c r="C16" s="65" t="s">
        <v>49</v>
      </c>
      <c r="D16" s="65"/>
      <c r="E16" s="65"/>
      <c r="F16" s="65"/>
      <c r="G16" s="65"/>
      <c r="H16" s="65"/>
      <c r="I16" s="66" t="s">
        <v>307</v>
      </c>
      <c r="J16" s="66"/>
      <c r="K16" s="66"/>
      <c r="L16" s="66" t="s">
        <v>308</v>
      </c>
      <c r="M16" s="66"/>
      <c r="N16" s="66"/>
      <c r="O16" s="66"/>
      <c r="P16" s="21" t="s">
        <v>48</v>
      </c>
      <c r="Q16" s="21" t="s">
        <v>309</v>
      </c>
      <c r="R16" s="21">
        <v>100</v>
      </c>
      <c r="S16" s="21">
        <v>100</v>
      </c>
      <c r="T16" s="21">
        <v>111.49</v>
      </c>
      <c r="U16" s="22">
        <f>111.49</f>
        <v>111.49</v>
      </c>
    </row>
    <row r="17" spans="1:22" ht="87" customHeight="1" thickTop="1" x14ac:dyDescent="0.2">
      <c r="A17" s="16"/>
      <c r="B17" s="17" t="s">
        <v>38</v>
      </c>
      <c r="C17" s="74" t="s">
        <v>310</v>
      </c>
      <c r="D17" s="74"/>
      <c r="E17" s="74"/>
      <c r="F17" s="74"/>
      <c r="G17" s="74"/>
      <c r="H17" s="74"/>
      <c r="I17" s="75" t="s">
        <v>311</v>
      </c>
      <c r="J17" s="75"/>
      <c r="K17" s="75"/>
      <c r="L17" s="75" t="s">
        <v>312</v>
      </c>
      <c r="M17" s="75"/>
      <c r="N17" s="75"/>
      <c r="O17" s="75"/>
      <c r="P17" s="18" t="s">
        <v>313</v>
      </c>
      <c r="Q17" s="18" t="s">
        <v>91</v>
      </c>
      <c r="R17" s="41">
        <v>4456</v>
      </c>
      <c r="S17" s="41">
        <v>4456</v>
      </c>
      <c r="T17" s="41">
        <v>4429</v>
      </c>
      <c r="U17" s="51">
        <f>99.4</f>
        <v>99.4</v>
      </c>
    </row>
    <row r="18" spans="1:22" ht="87" customHeight="1" x14ac:dyDescent="0.2">
      <c r="A18" s="16"/>
      <c r="B18" s="20" t="s">
        <v>49</v>
      </c>
      <c r="C18" s="65" t="s">
        <v>314</v>
      </c>
      <c r="D18" s="65"/>
      <c r="E18" s="65"/>
      <c r="F18" s="65"/>
      <c r="G18" s="65"/>
      <c r="H18" s="65"/>
      <c r="I18" s="66" t="s">
        <v>315</v>
      </c>
      <c r="J18" s="66"/>
      <c r="K18" s="66"/>
      <c r="L18" s="66" t="s">
        <v>316</v>
      </c>
      <c r="M18" s="66"/>
      <c r="N18" s="66"/>
      <c r="O18" s="66"/>
      <c r="P18" s="21" t="s">
        <v>313</v>
      </c>
      <c r="Q18" s="21" t="s">
        <v>91</v>
      </c>
      <c r="R18" s="40">
        <v>2722</v>
      </c>
      <c r="S18" s="40">
        <v>2722</v>
      </c>
      <c r="T18" s="40">
        <v>2641</v>
      </c>
      <c r="U18" s="22">
        <f>97.02</f>
        <v>97.02</v>
      </c>
    </row>
    <row r="19" spans="1:22" ht="87" customHeight="1" x14ac:dyDescent="0.2">
      <c r="A19" s="16"/>
      <c r="B19" s="20" t="s">
        <v>49</v>
      </c>
      <c r="C19" s="65" t="s">
        <v>49</v>
      </c>
      <c r="D19" s="65"/>
      <c r="E19" s="65"/>
      <c r="F19" s="65"/>
      <c r="G19" s="65"/>
      <c r="H19" s="65"/>
      <c r="I19" s="66" t="s">
        <v>317</v>
      </c>
      <c r="J19" s="66"/>
      <c r="K19" s="66"/>
      <c r="L19" s="66" t="s">
        <v>318</v>
      </c>
      <c r="M19" s="66"/>
      <c r="N19" s="66"/>
      <c r="O19" s="66"/>
      <c r="P19" s="21" t="s">
        <v>313</v>
      </c>
      <c r="Q19" s="21" t="s">
        <v>91</v>
      </c>
      <c r="R19" s="40">
        <v>1429</v>
      </c>
      <c r="S19" s="40">
        <v>1429</v>
      </c>
      <c r="T19" s="40">
        <v>1681</v>
      </c>
      <c r="U19" s="22">
        <f>117.6</f>
        <v>117.6</v>
      </c>
    </row>
    <row r="20" spans="1:22" ht="87" customHeight="1" x14ac:dyDescent="0.2">
      <c r="A20" s="16"/>
      <c r="B20" s="20" t="s">
        <v>49</v>
      </c>
      <c r="C20" s="65" t="s">
        <v>319</v>
      </c>
      <c r="D20" s="65"/>
      <c r="E20" s="65"/>
      <c r="F20" s="65"/>
      <c r="G20" s="65"/>
      <c r="H20" s="65"/>
      <c r="I20" s="66" t="s">
        <v>320</v>
      </c>
      <c r="J20" s="66"/>
      <c r="K20" s="66"/>
      <c r="L20" s="66" t="s">
        <v>321</v>
      </c>
      <c r="M20" s="66"/>
      <c r="N20" s="66"/>
      <c r="O20" s="66"/>
      <c r="P20" s="21" t="s">
        <v>313</v>
      </c>
      <c r="Q20" s="21" t="s">
        <v>91</v>
      </c>
      <c r="R20" s="40">
        <v>4554</v>
      </c>
      <c r="S20" s="40">
        <v>4554</v>
      </c>
      <c r="T20" s="40">
        <v>2472</v>
      </c>
      <c r="U20" s="22">
        <f>54.3</f>
        <v>54.3</v>
      </c>
    </row>
    <row r="21" spans="1:22" ht="87" customHeight="1" x14ac:dyDescent="0.2">
      <c r="A21" s="16"/>
      <c r="B21" s="20" t="s">
        <v>49</v>
      </c>
      <c r="C21" s="65" t="s">
        <v>322</v>
      </c>
      <c r="D21" s="65"/>
      <c r="E21" s="65"/>
      <c r="F21" s="65"/>
      <c r="G21" s="65"/>
      <c r="H21" s="65"/>
      <c r="I21" s="66" t="s">
        <v>323</v>
      </c>
      <c r="J21" s="66"/>
      <c r="K21" s="66"/>
      <c r="L21" s="66" t="s">
        <v>324</v>
      </c>
      <c r="M21" s="66"/>
      <c r="N21" s="66"/>
      <c r="O21" s="66"/>
      <c r="P21" s="21" t="s">
        <v>313</v>
      </c>
      <c r="Q21" s="21" t="s">
        <v>91</v>
      </c>
      <c r="R21" s="40">
        <v>5980</v>
      </c>
      <c r="S21" s="40">
        <v>5980</v>
      </c>
      <c r="T21" s="40">
        <v>10862</v>
      </c>
      <c r="U21" s="22">
        <f>181.6</f>
        <v>181.6</v>
      </c>
    </row>
    <row r="22" spans="1:22" ht="87" customHeight="1" thickBot="1" x14ac:dyDescent="0.25">
      <c r="A22" s="16"/>
      <c r="B22" s="20" t="s">
        <v>49</v>
      </c>
      <c r="C22" s="65" t="s">
        <v>325</v>
      </c>
      <c r="D22" s="65"/>
      <c r="E22" s="65"/>
      <c r="F22" s="65"/>
      <c r="G22" s="65"/>
      <c r="H22" s="65"/>
      <c r="I22" s="66" t="s">
        <v>326</v>
      </c>
      <c r="J22" s="66"/>
      <c r="K22" s="66"/>
      <c r="L22" s="66" t="s">
        <v>327</v>
      </c>
      <c r="M22" s="66"/>
      <c r="N22" s="66"/>
      <c r="O22" s="66"/>
      <c r="P22" s="21" t="s">
        <v>313</v>
      </c>
      <c r="Q22" s="21" t="s">
        <v>91</v>
      </c>
      <c r="R22" s="40">
        <v>19141</v>
      </c>
      <c r="S22" s="40">
        <v>19141</v>
      </c>
      <c r="T22" s="40">
        <v>22085</v>
      </c>
      <c r="U22" s="22">
        <f>115.4</f>
        <v>115.4</v>
      </c>
    </row>
    <row r="23" spans="1:22" ht="87" customHeight="1" thickTop="1" x14ac:dyDescent="0.2">
      <c r="A23" s="16"/>
      <c r="B23" s="17" t="s">
        <v>44</v>
      </c>
      <c r="C23" s="74" t="s">
        <v>328</v>
      </c>
      <c r="D23" s="74"/>
      <c r="E23" s="74"/>
      <c r="F23" s="74"/>
      <c r="G23" s="74"/>
      <c r="H23" s="74"/>
      <c r="I23" s="75" t="s">
        <v>329</v>
      </c>
      <c r="J23" s="75"/>
      <c r="K23" s="75"/>
      <c r="L23" s="75" t="s">
        <v>330</v>
      </c>
      <c r="M23" s="75"/>
      <c r="N23" s="75"/>
      <c r="O23" s="75"/>
      <c r="P23" s="18" t="s">
        <v>48</v>
      </c>
      <c r="Q23" s="18" t="s">
        <v>95</v>
      </c>
      <c r="R23" s="18">
        <v>100</v>
      </c>
      <c r="S23" s="18">
        <v>100</v>
      </c>
      <c r="T23" s="18">
        <v>108.17</v>
      </c>
      <c r="U23" s="51">
        <f>108.17</f>
        <v>108.17</v>
      </c>
    </row>
    <row r="24" spans="1:22" ht="87" customHeight="1" x14ac:dyDescent="0.2">
      <c r="A24" s="16"/>
      <c r="B24" s="20" t="s">
        <v>49</v>
      </c>
      <c r="C24" s="65" t="s">
        <v>331</v>
      </c>
      <c r="D24" s="65"/>
      <c r="E24" s="65"/>
      <c r="F24" s="65"/>
      <c r="G24" s="65"/>
      <c r="H24" s="65"/>
      <c r="I24" s="66" t="s">
        <v>332</v>
      </c>
      <c r="J24" s="66"/>
      <c r="K24" s="66"/>
      <c r="L24" s="66" t="s">
        <v>333</v>
      </c>
      <c r="M24" s="66"/>
      <c r="N24" s="66"/>
      <c r="O24" s="66"/>
      <c r="P24" s="21" t="s">
        <v>48</v>
      </c>
      <c r="Q24" s="21" t="s">
        <v>95</v>
      </c>
      <c r="R24" s="21">
        <v>100</v>
      </c>
      <c r="S24" s="21">
        <v>100</v>
      </c>
      <c r="T24" s="21">
        <v>32.619999999999997</v>
      </c>
      <c r="U24" s="22">
        <f>32.62</f>
        <v>32.619999999999997</v>
      </c>
    </row>
    <row r="25" spans="1:22" ht="87" customHeight="1" x14ac:dyDescent="0.2">
      <c r="A25" s="16"/>
      <c r="B25" s="20" t="s">
        <v>49</v>
      </c>
      <c r="C25" s="65" t="s">
        <v>334</v>
      </c>
      <c r="D25" s="65"/>
      <c r="E25" s="65"/>
      <c r="F25" s="65"/>
      <c r="G25" s="65"/>
      <c r="H25" s="65"/>
      <c r="I25" s="66" t="s">
        <v>335</v>
      </c>
      <c r="J25" s="66"/>
      <c r="K25" s="66"/>
      <c r="L25" s="66" t="s">
        <v>336</v>
      </c>
      <c r="M25" s="66"/>
      <c r="N25" s="66"/>
      <c r="O25" s="66"/>
      <c r="P25" s="21" t="s">
        <v>48</v>
      </c>
      <c r="Q25" s="21" t="s">
        <v>124</v>
      </c>
      <c r="R25" s="21">
        <v>70</v>
      </c>
      <c r="S25" s="21">
        <v>70</v>
      </c>
      <c r="T25" s="21">
        <v>90</v>
      </c>
      <c r="U25" s="22">
        <f>128.57</f>
        <v>128.57</v>
      </c>
    </row>
    <row r="26" spans="1:22" ht="87" customHeight="1" thickBot="1" x14ac:dyDescent="0.25">
      <c r="A26" s="16"/>
      <c r="B26" s="20" t="s">
        <v>49</v>
      </c>
      <c r="C26" s="65" t="s">
        <v>337</v>
      </c>
      <c r="D26" s="65"/>
      <c r="E26" s="65"/>
      <c r="F26" s="65"/>
      <c r="G26" s="65"/>
      <c r="H26" s="65"/>
      <c r="I26" s="66" t="s">
        <v>338</v>
      </c>
      <c r="J26" s="66"/>
      <c r="K26" s="66"/>
      <c r="L26" s="66" t="s">
        <v>339</v>
      </c>
      <c r="M26" s="66"/>
      <c r="N26" s="66"/>
      <c r="O26" s="66"/>
      <c r="P26" s="21" t="s">
        <v>48</v>
      </c>
      <c r="Q26" s="21" t="s">
        <v>95</v>
      </c>
      <c r="R26" s="21">
        <v>100</v>
      </c>
      <c r="S26" s="21">
        <v>100</v>
      </c>
      <c r="T26" s="21">
        <v>144.52000000000001</v>
      </c>
      <c r="U26" s="22">
        <f>144.52</f>
        <v>144.52000000000001</v>
      </c>
    </row>
    <row r="27" spans="1:22" ht="14.25" customHeight="1" thickTop="1" thickBot="1" x14ac:dyDescent="0.25">
      <c r="B27" s="4" t="s">
        <v>58</v>
      </c>
      <c r="C27" s="5"/>
      <c r="D27" s="5"/>
      <c r="E27" s="5"/>
      <c r="F27" s="5"/>
      <c r="G27" s="5"/>
      <c r="H27" s="6"/>
      <c r="I27" s="6"/>
      <c r="J27" s="6"/>
      <c r="K27" s="6"/>
      <c r="L27" s="6"/>
      <c r="M27" s="6"/>
      <c r="N27" s="6"/>
      <c r="O27" s="6"/>
      <c r="P27" s="6"/>
      <c r="Q27" s="6"/>
      <c r="R27" s="6"/>
      <c r="S27" s="6"/>
      <c r="T27" s="6"/>
      <c r="U27" s="7"/>
      <c r="V27" s="23"/>
    </row>
    <row r="28" spans="1:22" ht="26.25" customHeight="1" thickTop="1" x14ac:dyDescent="0.2">
      <c r="B28" s="24"/>
      <c r="C28" s="25"/>
      <c r="D28" s="25"/>
      <c r="E28" s="25"/>
      <c r="F28" s="25"/>
      <c r="G28" s="25"/>
      <c r="H28" s="26"/>
      <c r="I28" s="26"/>
      <c r="J28" s="26"/>
      <c r="K28" s="26"/>
      <c r="L28" s="26"/>
      <c r="M28" s="26"/>
      <c r="N28" s="26"/>
      <c r="O28" s="26"/>
      <c r="P28" s="26"/>
      <c r="Q28" s="26"/>
      <c r="R28" s="27"/>
      <c r="S28" s="28" t="s">
        <v>33</v>
      </c>
      <c r="T28" s="28" t="s">
        <v>59</v>
      </c>
      <c r="U28" s="13" t="s">
        <v>60</v>
      </c>
    </row>
    <row r="29" spans="1:22" ht="31.5" customHeight="1" thickBot="1" x14ac:dyDescent="0.25">
      <c r="B29" s="29"/>
      <c r="C29" s="30"/>
      <c r="D29" s="30"/>
      <c r="E29" s="30"/>
      <c r="F29" s="30"/>
      <c r="G29" s="30"/>
      <c r="H29" s="31"/>
      <c r="I29" s="31"/>
      <c r="J29" s="31"/>
      <c r="K29" s="31"/>
      <c r="L29" s="31"/>
      <c r="M29" s="31"/>
      <c r="N29" s="31"/>
      <c r="O29" s="31"/>
      <c r="P29" s="31"/>
      <c r="Q29" s="31"/>
      <c r="R29" s="31"/>
      <c r="S29" s="32" t="s">
        <v>61</v>
      </c>
      <c r="T29" s="33" t="s">
        <v>61</v>
      </c>
      <c r="U29" s="33" t="s">
        <v>62</v>
      </c>
    </row>
    <row r="30" spans="1:22" ht="18.75" customHeight="1" thickBot="1" x14ac:dyDescent="0.25">
      <c r="B30" s="67" t="s">
        <v>63</v>
      </c>
      <c r="C30" s="68"/>
      <c r="D30" s="68"/>
      <c r="E30" s="34"/>
      <c r="F30" s="34"/>
      <c r="G30" s="34"/>
      <c r="H30" s="35"/>
      <c r="I30" s="35"/>
      <c r="J30" s="35"/>
      <c r="K30" s="35"/>
      <c r="L30" s="35"/>
      <c r="M30" s="35"/>
      <c r="N30" s="35"/>
      <c r="O30" s="35"/>
      <c r="P30" s="36"/>
      <c r="Q30" s="36"/>
      <c r="R30" s="36"/>
      <c r="S30" s="53">
        <v>150.764691</v>
      </c>
      <c r="T30" s="53">
        <v>146.79579416000001</v>
      </c>
      <c r="U30" s="54">
        <f>+IF(ISERR(T30/S30*100),"N/A",ROUND(T30/S30*100,1))</f>
        <v>97.4</v>
      </c>
    </row>
    <row r="31" spans="1:22" ht="18.75" customHeight="1" thickBot="1" x14ac:dyDescent="0.25">
      <c r="B31" s="69" t="s">
        <v>64</v>
      </c>
      <c r="C31" s="70"/>
      <c r="D31" s="70"/>
      <c r="E31" s="37"/>
      <c r="F31" s="37"/>
      <c r="G31" s="37"/>
      <c r="H31" s="38"/>
      <c r="I31" s="38"/>
      <c r="J31" s="38"/>
      <c r="K31" s="38"/>
      <c r="L31" s="38"/>
      <c r="M31" s="38"/>
      <c r="N31" s="38"/>
      <c r="O31" s="38"/>
      <c r="P31" s="39"/>
      <c r="Q31" s="39"/>
      <c r="R31" s="39"/>
      <c r="S31" s="53">
        <v>147.34050839</v>
      </c>
      <c r="T31" s="53">
        <v>146.79579416000001</v>
      </c>
      <c r="U31" s="54">
        <f>+IF(ISERR(T31/S31*100),"N/A",ROUND(T31/S31*100,1))</f>
        <v>99.6</v>
      </c>
    </row>
    <row r="32" spans="1:22" ht="14.85" customHeight="1" thickTop="1" thickBot="1" x14ac:dyDescent="0.25">
      <c r="B32" s="4" t="s">
        <v>65</v>
      </c>
      <c r="C32" s="5"/>
      <c r="D32" s="5"/>
      <c r="E32" s="5"/>
      <c r="F32" s="5"/>
      <c r="G32" s="5"/>
      <c r="H32" s="6"/>
      <c r="I32" s="6"/>
      <c r="J32" s="6"/>
      <c r="K32" s="6"/>
      <c r="L32" s="6"/>
      <c r="M32" s="6"/>
      <c r="N32" s="6"/>
      <c r="O32" s="6"/>
      <c r="P32" s="6"/>
      <c r="Q32" s="6"/>
      <c r="R32" s="6"/>
      <c r="S32" s="6"/>
      <c r="T32" s="6"/>
      <c r="U32" s="7"/>
    </row>
    <row r="33" spans="2:21" ht="44.25" customHeight="1" thickTop="1" x14ac:dyDescent="0.2">
      <c r="B33" s="71" t="s">
        <v>66</v>
      </c>
      <c r="C33" s="72"/>
      <c r="D33" s="72"/>
      <c r="E33" s="72"/>
      <c r="F33" s="72"/>
      <c r="G33" s="72"/>
      <c r="H33" s="72"/>
      <c r="I33" s="72"/>
      <c r="J33" s="72"/>
      <c r="K33" s="72"/>
      <c r="L33" s="72"/>
      <c r="M33" s="72"/>
      <c r="N33" s="72"/>
      <c r="O33" s="72"/>
      <c r="P33" s="72"/>
      <c r="Q33" s="72"/>
      <c r="R33" s="72"/>
      <c r="S33" s="72"/>
      <c r="T33" s="72"/>
      <c r="U33" s="73"/>
    </row>
    <row r="34" spans="2:21" ht="102.2" customHeight="1" x14ac:dyDescent="0.2">
      <c r="B34" s="59" t="s">
        <v>340</v>
      </c>
      <c r="C34" s="60"/>
      <c r="D34" s="60"/>
      <c r="E34" s="60"/>
      <c r="F34" s="60"/>
      <c r="G34" s="60"/>
      <c r="H34" s="60"/>
      <c r="I34" s="60"/>
      <c r="J34" s="60"/>
      <c r="K34" s="60"/>
      <c r="L34" s="60"/>
      <c r="M34" s="60"/>
      <c r="N34" s="60"/>
      <c r="O34" s="60"/>
      <c r="P34" s="60"/>
      <c r="Q34" s="60"/>
      <c r="R34" s="60"/>
      <c r="S34" s="60"/>
      <c r="T34" s="60"/>
      <c r="U34" s="61"/>
    </row>
    <row r="35" spans="2:21" ht="104.45" customHeight="1" x14ac:dyDescent="0.2">
      <c r="B35" s="59" t="s">
        <v>341</v>
      </c>
      <c r="C35" s="60"/>
      <c r="D35" s="60"/>
      <c r="E35" s="60"/>
      <c r="F35" s="60"/>
      <c r="G35" s="60"/>
      <c r="H35" s="60"/>
      <c r="I35" s="60"/>
      <c r="J35" s="60"/>
      <c r="K35" s="60"/>
      <c r="L35" s="60"/>
      <c r="M35" s="60"/>
      <c r="N35" s="60"/>
      <c r="O35" s="60"/>
      <c r="P35" s="60"/>
      <c r="Q35" s="60"/>
      <c r="R35" s="60"/>
      <c r="S35" s="60"/>
      <c r="T35" s="60"/>
      <c r="U35" s="61"/>
    </row>
    <row r="36" spans="2:21" ht="102" customHeight="1" x14ac:dyDescent="0.2">
      <c r="B36" s="59" t="s">
        <v>342</v>
      </c>
      <c r="C36" s="60"/>
      <c r="D36" s="60"/>
      <c r="E36" s="60"/>
      <c r="F36" s="60"/>
      <c r="G36" s="60"/>
      <c r="H36" s="60"/>
      <c r="I36" s="60"/>
      <c r="J36" s="60"/>
      <c r="K36" s="60"/>
      <c r="L36" s="60"/>
      <c r="M36" s="60"/>
      <c r="N36" s="60"/>
      <c r="O36" s="60"/>
      <c r="P36" s="60"/>
      <c r="Q36" s="60"/>
      <c r="R36" s="60"/>
      <c r="S36" s="60"/>
      <c r="T36" s="60"/>
      <c r="U36" s="61"/>
    </row>
    <row r="37" spans="2:21" ht="102.6" customHeight="1" x14ac:dyDescent="0.2">
      <c r="B37" s="59" t="s">
        <v>343</v>
      </c>
      <c r="C37" s="60"/>
      <c r="D37" s="60"/>
      <c r="E37" s="60"/>
      <c r="F37" s="60"/>
      <c r="G37" s="60"/>
      <c r="H37" s="60"/>
      <c r="I37" s="60"/>
      <c r="J37" s="60"/>
      <c r="K37" s="60"/>
      <c r="L37" s="60"/>
      <c r="M37" s="60"/>
      <c r="N37" s="60"/>
      <c r="O37" s="60"/>
      <c r="P37" s="60"/>
      <c r="Q37" s="60"/>
      <c r="R37" s="60"/>
      <c r="S37" s="60"/>
      <c r="T37" s="60"/>
      <c r="U37" s="61"/>
    </row>
    <row r="38" spans="2:21" ht="77.25" customHeight="1" x14ac:dyDescent="0.2">
      <c r="B38" s="59" t="s">
        <v>344</v>
      </c>
      <c r="C38" s="60"/>
      <c r="D38" s="60"/>
      <c r="E38" s="60"/>
      <c r="F38" s="60"/>
      <c r="G38" s="60"/>
      <c r="H38" s="60"/>
      <c r="I38" s="60"/>
      <c r="J38" s="60"/>
      <c r="K38" s="60"/>
      <c r="L38" s="60"/>
      <c r="M38" s="60"/>
      <c r="N38" s="60"/>
      <c r="O38" s="60"/>
      <c r="P38" s="60"/>
      <c r="Q38" s="60"/>
      <c r="R38" s="60"/>
      <c r="S38" s="60"/>
      <c r="T38" s="60"/>
      <c r="U38" s="61"/>
    </row>
    <row r="39" spans="2:21" ht="77.25" customHeight="1" x14ac:dyDescent="0.2">
      <c r="B39" s="59" t="s">
        <v>345</v>
      </c>
      <c r="C39" s="60"/>
      <c r="D39" s="60"/>
      <c r="E39" s="60"/>
      <c r="F39" s="60"/>
      <c r="G39" s="60"/>
      <c r="H39" s="60"/>
      <c r="I39" s="60"/>
      <c r="J39" s="60"/>
      <c r="K39" s="60"/>
      <c r="L39" s="60"/>
      <c r="M39" s="60"/>
      <c r="N39" s="60"/>
      <c r="O39" s="60"/>
      <c r="P39" s="60"/>
      <c r="Q39" s="60"/>
      <c r="R39" s="60"/>
      <c r="S39" s="60"/>
      <c r="T39" s="60"/>
      <c r="U39" s="61"/>
    </row>
    <row r="40" spans="2:21" ht="77.25" customHeight="1" x14ac:dyDescent="0.2">
      <c r="B40" s="59" t="s">
        <v>346</v>
      </c>
      <c r="C40" s="60"/>
      <c r="D40" s="60"/>
      <c r="E40" s="60"/>
      <c r="F40" s="60"/>
      <c r="G40" s="60"/>
      <c r="H40" s="60"/>
      <c r="I40" s="60"/>
      <c r="J40" s="60"/>
      <c r="K40" s="60"/>
      <c r="L40" s="60"/>
      <c r="M40" s="60"/>
      <c r="N40" s="60"/>
      <c r="O40" s="60"/>
      <c r="P40" s="60"/>
      <c r="Q40" s="60"/>
      <c r="R40" s="60"/>
      <c r="S40" s="60"/>
      <c r="T40" s="60"/>
      <c r="U40" s="61"/>
    </row>
    <row r="41" spans="2:21" ht="104.25" customHeight="1" x14ac:dyDescent="0.2">
      <c r="B41" s="59" t="s">
        <v>347</v>
      </c>
      <c r="C41" s="60"/>
      <c r="D41" s="60"/>
      <c r="E41" s="60"/>
      <c r="F41" s="60"/>
      <c r="G41" s="60"/>
      <c r="H41" s="60"/>
      <c r="I41" s="60"/>
      <c r="J41" s="60"/>
      <c r="K41" s="60"/>
      <c r="L41" s="60"/>
      <c r="M41" s="60"/>
      <c r="N41" s="60"/>
      <c r="O41" s="60"/>
      <c r="P41" s="60"/>
      <c r="Q41" s="60"/>
      <c r="R41" s="60"/>
      <c r="S41" s="60"/>
      <c r="T41" s="60"/>
      <c r="U41" s="61"/>
    </row>
    <row r="42" spans="2:21" ht="109.5" customHeight="1" x14ac:dyDescent="0.2">
      <c r="B42" s="59" t="s">
        <v>348</v>
      </c>
      <c r="C42" s="60"/>
      <c r="D42" s="60"/>
      <c r="E42" s="60"/>
      <c r="F42" s="60"/>
      <c r="G42" s="60"/>
      <c r="H42" s="60"/>
      <c r="I42" s="60"/>
      <c r="J42" s="60"/>
      <c r="K42" s="60"/>
      <c r="L42" s="60"/>
      <c r="M42" s="60"/>
      <c r="N42" s="60"/>
      <c r="O42" s="60"/>
      <c r="P42" s="60"/>
      <c r="Q42" s="60"/>
      <c r="R42" s="60"/>
      <c r="S42" s="60"/>
      <c r="T42" s="60"/>
      <c r="U42" s="61"/>
    </row>
    <row r="43" spans="2:21" ht="77.25" customHeight="1" x14ac:dyDescent="0.2">
      <c r="B43" s="59" t="s">
        <v>349</v>
      </c>
      <c r="C43" s="60"/>
      <c r="D43" s="60"/>
      <c r="E43" s="60"/>
      <c r="F43" s="60"/>
      <c r="G43" s="60"/>
      <c r="H43" s="60"/>
      <c r="I43" s="60"/>
      <c r="J43" s="60"/>
      <c r="K43" s="60"/>
      <c r="L43" s="60"/>
      <c r="M43" s="60"/>
      <c r="N43" s="60"/>
      <c r="O43" s="60"/>
      <c r="P43" s="60"/>
      <c r="Q43" s="60"/>
      <c r="R43" s="60"/>
      <c r="S43" s="60"/>
      <c r="T43" s="60"/>
      <c r="U43" s="61"/>
    </row>
    <row r="44" spans="2:21" ht="77.25" customHeight="1" x14ac:dyDescent="0.2">
      <c r="B44" s="59" t="s">
        <v>350</v>
      </c>
      <c r="C44" s="60"/>
      <c r="D44" s="60"/>
      <c r="E44" s="60"/>
      <c r="F44" s="60"/>
      <c r="G44" s="60"/>
      <c r="H44" s="60"/>
      <c r="I44" s="60"/>
      <c r="J44" s="60"/>
      <c r="K44" s="60"/>
      <c r="L44" s="60"/>
      <c r="M44" s="60"/>
      <c r="N44" s="60"/>
      <c r="O44" s="60"/>
      <c r="P44" s="60"/>
      <c r="Q44" s="60"/>
      <c r="R44" s="60"/>
      <c r="S44" s="60"/>
      <c r="T44" s="60"/>
      <c r="U44" s="61"/>
    </row>
    <row r="45" spans="2:21" ht="77.25" customHeight="1" x14ac:dyDescent="0.2">
      <c r="B45" s="59" t="s">
        <v>351</v>
      </c>
      <c r="C45" s="60"/>
      <c r="D45" s="60"/>
      <c r="E45" s="60"/>
      <c r="F45" s="60"/>
      <c r="G45" s="60"/>
      <c r="H45" s="60"/>
      <c r="I45" s="60"/>
      <c r="J45" s="60"/>
      <c r="K45" s="60"/>
      <c r="L45" s="60"/>
      <c r="M45" s="60"/>
      <c r="N45" s="60"/>
      <c r="O45" s="60"/>
      <c r="P45" s="60"/>
      <c r="Q45" s="60"/>
      <c r="R45" s="60"/>
      <c r="S45" s="60"/>
      <c r="T45" s="60"/>
      <c r="U45" s="61"/>
    </row>
    <row r="46" spans="2:21" ht="102" customHeight="1" x14ac:dyDescent="0.2">
      <c r="B46" s="59" t="s">
        <v>352</v>
      </c>
      <c r="C46" s="60"/>
      <c r="D46" s="60"/>
      <c r="E46" s="60"/>
      <c r="F46" s="60"/>
      <c r="G46" s="60"/>
      <c r="H46" s="60"/>
      <c r="I46" s="60"/>
      <c r="J46" s="60"/>
      <c r="K46" s="60"/>
      <c r="L46" s="60"/>
      <c r="M46" s="60"/>
      <c r="N46" s="60"/>
      <c r="O46" s="60"/>
      <c r="P46" s="60"/>
      <c r="Q46" s="60"/>
      <c r="R46" s="60"/>
      <c r="S46" s="60"/>
      <c r="T46" s="60"/>
      <c r="U46" s="61"/>
    </row>
    <row r="47" spans="2:21" ht="77.25" customHeight="1" x14ac:dyDescent="0.2">
      <c r="B47" s="59" t="s">
        <v>353</v>
      </c>
      <c r="C47" s="60"/>
      <c r="D47" s="60"/>
      <c r="E47" s="60"/>
      <c r="F47" s="60"/>
      <c r="G47" s="60"/>
      <c r="H47" s="60"/>
      <c r="I47" s="60"/>
      <c r="J47" s="60"/>
      <c r="K47" s="60"/>
      <c r="L47" s="60"/>
      <c r="M47" s="60"/>
      <c r="N47" s="60"/>
      <c r="O47" s="60"/>
      <c r="P47" s="60"/>
      <c r="Q47" s="60"/>
      <c r="R47" s="60"/>
      <c r="S47" s="60"/>
      <c r="T47" s="60"/>
      <c r="U47" s="61"/>
    </row>
    <row r="48" spans="2:21" ht="77.25" customHeight="1" thickBot="1" x14ac:dyDescent="0.25">
      <c r="B48" s="62" t="s">
        <v>354</v>
      </c>
      <c r="C48" s="63"/>
      <c r="D48" s="63"/>
      <c r="E48" s="63"/>
      <c r="F48" s="63"/>
      <c r="G48" s="63"/>
      <c r="H48" s="63"/>
      <c r="I48" s="63"/>
      <c r="J48" s="63"/>
      <c r="K48" s="63"/>
      <c r="L48" s="63"/>
      <c r="M48" s="63"/>
      <c r="N48" s="63"/>
      <c r="O48" s="63"/>
      <c r="P48" s="63"/>
      <c r="Q48" s="63"/>
      <c r="R48" s="63"/>
      <c r="S48" s="63"/>
      <c r="T48" s="63"/>
      <c r="U48" s="64"/>
    </row>
  </sheetData>
  <mergeCells count="87">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C18:H18"/>
    <mergeCell ref="I18:K18"/>
    <mergeCell ref="L18:O18"/>
    <mergeCell ref="C19:H19"/>
    <mergeCell ref="I19:K19"/>
    <mergeCell ref="L19:O19"/>
    <mergeCell ref="C20:H20"/>
    <mergeCell ref="I20:K20"/>
    <mergeCell ref="L20:O20"/>
    <mergeCell ref="C21:H21"/>
    <mergeCell ref="I21:K21"/>
    <mergeCell ref="L21:O21"/>
    <mergeCell ref="C22:H22"/>
    <mergeCell ref="I22:K22"/>
    <mergeCell ref="L22:O22"/>
    <mergeCell ref="C23:H23"/>
    <mergeCell ref="I23:K23"/>
    <mergeCell ref="L23:O23"/>
    <mergeCell ref="C24:H24"/>
    <mergeCell ref="I24:K24"/>
    <mergeCell ref="L24:O24"/>
    <mergeCell ref="C25:H25"/>
    <mergeCell ref="I25:K25"/>
    <mergeCell ref="L25:O25"/>
    <mergeCell ref="B38:U38"/>
    <mergeCell ref="C26:H26"/>
    <mergeCell ref="I26:K26"/>
    <mergeCell ref="L26:O26"/>
    <mergeCell ref="B30:D30"/>
    <mergeCell ref="B31:D31"/>
    <mergeCell ref="B33:U33"/>
    <mergeCell ref="B34:U34"/>
    <mergeCell ref="B35:U35"/>
    <mergeCell ref="B36:U36"/>
    <mergeCell ref="B37:U37"/>
    <mergeCell ref="B45:U45"/>
    <mergeCell ref="B46:U46"/>
    <mergeCell ref="B47:U47"/>
    <mergeCell ref="B48:U48"/>
    <mergeCell ref="B39:U39"/>
    <mergeCell ref="B40:U40"/>
    <mergeCell ref="B41:U41"/>
    <mergeCell ref="B42:U42"/>
    <mergeCell ref="B43:U43"/>
    <mergeCell ref="B44:U4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7"/>
  <sheetViews>
    <sheetView zoomScale="90" zoomScaleNormal="90" zoomScaleSheetLayoutView="80" workbookViewId="0">
      <selection activeCell="U16" sqref="U16"/>
    </sheetView>
  </sheetViews>
  <sheetFormatPr baseColWidth="10" defaultColWidth="10" defaultRowHeight="12.75" x14ac:dyDescent="0.2"/>
  <cols>
    <col min="1" max="1" width="3.5" style="1" customWidth="1"/>
    <col min="2" max="2" width="14.6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8.62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375" style="1" customWidth="1"/>
    <col min="19" max="19" width="13" style="1" customWidth="1"/>
    <col min="20" max="20" width="10.75" style="1" customWidth="1"/>
    <col min="21" max="21" width="12.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5" t="s">
        <v>0</v>
      </c>
      <c r="C1" s="55"/>
      <c r="D1" s="55"/>
      <c r="E1" s="55"/>
      <c r="F1" s="55"/>
      <c r="G1" s="55"/>
      <c r="H1" s="55"/>
      <c r="I1" s="55"/>
      <c r="J1" s="55"/>
      <c r="K1" s="55"/>
      <c r="L1" s="55"/>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42" t="s">
        <v>6</v>
      </c>
      <c r="C4" s="43" t="s">
        <v>355</v>
      </c>
      <c r="D4" s="102" t="s">
        <v>356</v>
      </c>
      <c r="E4" s="102"/>
      <c r="F4" s="102"/>
      <c r="G4" s="102"/>
      <c r="H4" s="102"/>
      <c r="I4" s="44"/>
      <c r="J4" s="45" t="s">
        <v>9</v>
      </c>
      <c r="K4" s="46" t="s">
        <v>10</v>
      </c>
      <c r="L4" s="103" t="s">
        <v>11</v>
      </c>
      <c r="M4" s="103"/>
      <c r="N4" s="103"/>
      <c r="O4" s="103"/>
      <c r="P4" s="45" t="s">
        <v>12</v>
      </c>
      <c r="Q4" s="103" t="s">
        <v>357</v>
      </c>
      <c r="R4" s="103"/>
      <c r="S4" s="45" t="s">
        <v>14</v>
      </c>
      <c r="T4" s="103"/>
      <c r="U4" s="104"/>
    </row>
    <row r="5" spans="1:21" ht="15.75" customHeight="1" x14ac:dyDescent="0.2">
      <c r="B5" s="99" t="s">
        <v>15</v>
      </c>
      <c r="C5" s="100"/>
      <c r="D5" s="100"/>
      <c r="E5" s="100"/>
      <c r="F5" s="100"/>
      <c r="G5" s="100"/>
      <c r="H5" s="100"/>
      <c r="I5" s="100"/>
      <c r="J5" s="100"/>
      <c r="K5" s="100"/>
      <c r="L5" s="100"/>
      <c r="M5" s="100"/>
      <c r="N5" s="100"/>
      <c r="O5" s="100"/>
      <c r="P5" s="100"/>
      <c r="Q5" s="100"/>
      <c r="R5" s="100"/>
      <c r="S5" s="100"/>
      <c r="T5" s="100"/>
      <c r="U5" s="101"/>
    </row>
    <row r="6" spans="1:21" ht="49.5" customHeight="1" thickBot="1" x14ac:dyDescent="0.25">
      <c r="B6" s="47" t="s">
        <v>16</v>
      </c>
      <c r="C6" s="76" t="s">
        <v>17</v>
      </c>
      <c r="D6" s="76"/>
      <c r="E6" s="76"/>
      <c r="F6" s="76"/>
      <c r="G6" s="76"/>
      <c r="H6" s="48"/>
      <c r="I6" s="48"/>
      <c r="J6" s="48" t="s">
        <v>18</v>
      </c>
      <c r="K6" s="76" t="s">
        <v>238</v>
      </c>
      <c r="L6" s="76"/>
      <c r="M6" s="76"/>
      <c r="N6" s="49"/>
      <c r="O6" s="48" t="s">
        <v>20</v>
      </c>
      <c r="P6" s="76" t="s">
        <v>239</v>
      </c>
      <c r="Q6" s="76"/>
      <c r="R6" s="50"/>
      <c r="S6" s="48" t="s">
        <v>22</v>
      </c>
      <c r="T6" s="76" t="s">
        <v>74</v>
      </c>
      <c r="U6" s="77"/>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8" t="s">
        <v>25</v>
      </c>
      <c r="C8" s="81" t="s">
        <v>26</v>
      </c>
      <c r="D8" s="81"/>
      <c r="E8" s="81"/>
      <c r="F8" s="81"/>
      <c r="G8" s="81"/>
      <c r="H8" s="82"/>
      <c r="I8" s="87" t="s">
        <v>27</v>
      </c>
      <c r="J8" s="88"/>
      <c r="K8" s="88"/>
      <c r="L8" s="88"/>
      <c r="M8" s="88"/>
      <c r="N8" s="88"/>
      <c r="O8" s="88"/>
      <c r="P8" s="88"/>
      <c r="Q8" s="88"/>
      <c r="R8" s="88"/>
      <c r="S8" s="89"/>
      <c r="T8" s="90" t="s">
        <v>28</v>
      </c>
      <c r="U8" s="91"/>
    </row>
    <row r="9" spans="1:21" ht="19.5" customHeight="1" x14ac:dyDescent="0.2">
      <c r="B9" s="79"/>
      <c r="C9" s="83"/>
      <c r="D9" s="83"/>
      <c r="E9" s="83"/>
      <c r="F9" s="83"/>
      <c r="G9" s="83"/>
      <c r="H9" s="84"/>
      <c r="I9" s="92" t="s">
        <v>29</v>
      </c>
      <c r="J9" s="81"/>
      <c r="K9" s="81"/>
      <c r="L9" s="81" t="s">
        <v>30</v>
      </c>
      <c r="M9" s="81"/>
      <c r="N9" s="81"/>
      <c r="O9" s="81"/>
      <c r="P9" s="81" t="s">
        <v>31</v>
      </c>
      <c r="Q9" s="81" t="s">
        <v>32</v>
      </c>
      <c r="R9" s="95" t="s">
        <v>33</v>
      </c>
      <c r="S9" s="96"/>
      <c r="T9" s="81" t="s">
        <v>34</v>
      </c>
      <c r="U9" s="97" t="s">
        <v>35</v>
      </c>
    </row>
    <row r="10" spans="1:21" ht="28.5" customHeight="1" thickBot="1" x14ac:dyDescent="0.25">
      <c r="B10" s="80"/>
      <c r="C10" s="85"/>
      <c r="D10" s="85"/>
      <c r="E10" s="85"/>
      <c r="F10" s="85"/>
      <c r="G10" s="85"/>
      <c r="H10" s="86"/>
      <c r="I10" s="93"/>
      <c r="J10" s="94"/>
      <c r="K10" s="94"/>
      <c r="L10" s="94"/>
      <c r="M10" s="94"/>
      <c r="N10" s="94"/>
      <c r="O10" s="94"/>
      <c r="P10" s="94"/>
      <c r="Q10" s="94"/>
      <c r="R10" s="14" t="s">
        <v>36</v>
      </c>
      <c r="S10" s="15" t="s">
        <v>37</v>
      </c>
      <c r="T10" s="94"/>
      <c r="U10" s="98"/>
    </row>
    <row r="11" spans="1:21" ht="75" customHeight="1" thickTop="1" x14ac:dyDescent="0.2">
      <c r="A11" s="16"/>
      <c r="B11" s="17" t="s">
        <v>75</v>
      </c>
      <c r="C11" s="74" t="s">
        <v>358</v>
      </c>
      <c r="D11" s="74"/>
      <c r="E11" s="74"/>
      <c r="F11" s="74"/>
      <c r="G11" s="74"/>
      <c r="H11" s="74"/>
      <c r="I11" s="75" t="s">
        <v>359</v>
      </c>
      <c r="J11" s="75"/>
      <c r="K11" s="75"/>
      <c r="L11" s="75" t="s">
        <v>360</v>
      </c>
      <c r="M11" s="75"/>
      <c r="N11" s="75"/>
      <c r="O11" s="75"/>
      <c r="P11" s="18" t="s">
        <v>361</v>
      </c>
      <c r="Q11" s="18" t="s">
        <v>85</v>
      </c>
      <c r="R11" s="41">
        <v>800</v>
      </c>
      <c r="S11" s="41">
        <v>800</v>
      </c>
      <c r="T11" s="41">
        <v>732</v>
      </c>
      <c r="U11" s="51">
        <f>91.5</f>
        <v>91.5</v>
      </c>
    </row>
    <row r="12" spans="1:21" ht="105.75" customHeight="1" thickBot="1" x14ac:dyDescent="0.25">
      <c r="A12" s="16"/>
      <c r="B12" s="20" t="s">
        <v>49</v>
      </c>
      <c r="C12" s="65" t="s">
        <v>49</v>
      </c>
      <c r="D12" s="65"/>
      <c r="E12" s="65"/>
      <c r="F12" s="65"/>
      <c r="G12" s="65"/>
      <c r="H12" s="65"/>
      <c r="I12" s="66" t="s">
        <v>362</v>
      </c>
      <c r="J12" s="66"/>
      <c r="K12" s="66"/>
      <c r="L12" s="66" t="s">
        <v>363</v>
      </c>
      <c r="M12" s="66"/>
      <c r="N12" s="66"/>
      <c r="O12" s="66"/>
      <c r="P12" s="21" t="s">
        <v>48</v>
      </c>
      <c r="Q12" s="21" t="s">
        <v>165</v>
      </c>
      <c r="R12" s="21" t="s">
        <v>80</v>
      </c>
      <c r="S12" s="21">
        <v>70</v>
      </c>
      <c r="T12" s="21">
        <v>0</v>
      </c>
      <c r="U12" s="22">
        <f>0</f>
        <v>0</v>
      </c>
    </row>
    <row r="13" spans="1:21" ht="75" customHeight="1" thickTop="1" x14ac:dyDescent="0.2">
      <c r="A13" s="16"/>
      <c r="B13" s="17" t="s">
        <v>81</v>
      </c>
      <c r="C13" s="74" t="s">
        <v>364</v>
      </c>
      <c r="D13" s="74"/>
      <c r="E13" s="74"/>
      <c r="F13" s="74"/>
      <c r="G13" s="74"/>
      <c r="H13" s="74"/>
      <c r="I13" s="75" t="s">
        <v>365</v>
      </c>
      <c r="J13" s="75"/>
      <c r="K13" s="75"/>
      <c r="L13" s="75" t="s">
        <v>366</v>
      </c>
      <c r="M13" s="75"/>
      <c r="N13" s="75"/>
      <c r="O13" s="75"/>
      <c r="P13" s="18" t="s">
        <v>174</v>
      </c>
      <c r="Q13" s="18" t="s">
        <v>165</v>
      </c>
      <c r="R13" s="41">
        <v>1250</v>
      </c>
      <c r="S13" s="41">
        <v>1200</v>
      </c>
      <c r="T13" s="41">
        <v>1170</v>
      </c>
      <c r="U13" s="51">
        <f>97.5</f>
        <v>97.5</v>
      </c>
    </row>
    <row r="14" spans="1:21" ht="103.5" customHeight="1" x14ac:dyDescent="0.2">
      <c r="A14" s="16"/>
      <c r="B14" s="20" t="s">
        <v>49</v>
      </c>
      <c r="C14" s="65" t="s">
        <v>49</v>
      </c>
      <c r="D14" s="65"/>
      <c r="E14" s="65"/>
      <c r="F14" s="65"/>
      <c r="G14" s="65"/>
      <c r="H14" s="65"/>
      <c r="I14" s="66" t="s">
        <v>367</v>
      </c>
      <c r="J14" s="66"/>
      <c r="K14" s="66"/>
      <c r="L14" s="66" t="s">
        <v>368</v>
      </c>
      <c r="M14" s="66"/>
      <c r="N14" s="66"/>
      <c r="O14" s="66"/>
      <c r="P14" s="21" t="s">
        <v>94</v>
      </c>
      <c r="Q14" s="21" t="s">
        <v>165</v>
      </c>
      <c r="R14" s="21" t="s">
        <v>80</v>
      </c>
      <c r="S14" s="21">
        <v>2.5</v>
      </c>
      <c r="T14" s="21">
        <v>2.75</v>
      </c>
      <c r="U14" s="22">
        <f>110</f>
        <v>110</v>
      </c>
    </row>
    <row r="15" spans="1:21" ht="75" customHeight="1" thickBot="1" x14ac:dyDescent="0.25">
      <c r="A15" s="16"/>
      <c r="B15" s="20" t="s">
        <v>49</v>
      </c>
      <c r="C15" s="65" t="s">
        <v>49</v>
      </c>
      <c r="D15" s="65"/>
      <c r="E15" s="65"/>
      <c r="F15" s="65"/>
      <c r="G15" s="65"/>
      <c r="H15" s="65"/>
      <c r="I15" s="66" t="s">
        <v>369</v>
      </c>
      <c r="J15" s="66"/>
      <c r="K15" s="66"/>
      <c r="L15" s="66" t="s">
        <v>370</v>
      </c>
      <c r="M15" s="66"/>
      <c r="N15" s="66"/>
      <c r="O15" s="66"/>
      <c r="P15" s="21" t="s">
        <v>48</v>
      </c>
      <c r="Q15" s="21" t="s">
        <v>165</v>
      </c>
      <c r="R15" s="21" t="s">
        <v>80</v>
      </c>
      <c r="S15" s="21">
        <v>75</v>
      </c>
      <c r="T15" s="21">
        <v>79.8</v>
      </c>
      <c r="U15" s="22">
        <f>106.4</f>
        <v>106.4</v>
      </c>
    </row>
    <row r="16" spans="1:21" ht="96" customHeight="1" thickTop="1" x14ac:dyDescent="0.2">
      <c r="A16" s="16"/>
      <c r="B16" s="17" t="s">
        <v>38</v>
      </c>
      <c r="C16" s="74" t="s">
        <v>371</v>
      </c>
      <c r="D16" s="74"/>
      <c r="E16" s="74"/>
      <c r="F16" s="74"/>
      <c r="G16" s="74"/>
      <c r="H16" s="74"/>
      <c r="I16" s="75" t="s">
        <v>372</v>
      </c>
      <c r="J16" s="75"/>
      <c r="K16" s="75"/>
      <c r="L16" s="75" t="s">
        <v>373</v>
      </c>
      <c r="M16" s="75"/>
      <c r="N16" s="75"/>
      <c r="O16" s="75"/>
      <c r="P16" s="18" t="s">
        <v>255</v>
      </c>
      <c r="Q16" s="18" t="s">
        <v>85</v>
      </c>
      <c r="R16" s="41">
        <v>2200</v>
      </c>
      <c r="S16" s="41">
        <v>2200</v>
      </c>
      <c r="T16" s="41">
        <v>2022</v>
      </c>
      <c r="U16" s="22">
        <f>91.9</f>
        <v>91.9</v>
      </c>
    </row>
    <row r="17" spans="1:22" ht="107.25" customHeight="1" x14ac:dyDescent="0.2">
      <c r="A17" s="16"/>
      <c r="B17" s="20" t="s">
        <v>49</v>
      </c>
      <c r="C17" s="65" t="s">
        <v>49</v>
      </c>
      <c r="D17" s="65"/>
      <c r="E17" s="65"/>
      <c r="F17" s="65"/>
      <c r="G17" s="65"/>
      <c r="H17" s="65"/>
      <c r="I17" s="66" t="s">
        <v>374</v>
      </c>
      <c r="J17" s="66"/>
      <c r="K17" s="66"/>
      <c r="L17" s="66" t="s">
        <v>375</v>
      </c>
      <c r="M17" s="66"/>
      <c r="N17" s="66"/>
      <c r="O17" s="66"/>
      <c r="P17" s="21" t="s">
        <v>255</v>
      </c>
      <c r="Q17" s="21" t="s">
        <v>85</v>
      </c>
      <c r="R17" s="40">
        <v>400</v>
      </c>
      <c r="S17" s="40">
        <v>400</v>
      </c>
      <c r="T17" s="40">
        <v>236</v>
      </c>
      <c r="U17" s="22">
        <f>59</f>
        <v>59</v>
      </c>
    </row>
    <row r="18" spans="1:22" ht="107.25" customHeight="1" x14ac:dyDescent="0.2">
      <c r="A18" s="16"/>
      <c r="B18" s="20" t="s">
        <v>49</v>
      </c>
      <c r="C18" s="65" t="s">
        <v>49</v>
      </c>
      <c r="D18" s="65"/>
      <c r="E18" s="65"/>
      <c r="F18" s="65"/>
      <c r="G18" s="65"/>
      <c r="H18" s="65"/>
      <c r="I18" s="66" t="s">
        <v>376</v>
      </c>
      <c r="J18" s="66"/>
      <c r="K18" s="66"/>
      <c r="L18" s="66" t="s">
        <v>377</v>
      </c>
      <c r="M18" s="66"/>
      <c r="N18" s="66"/>
      <c r="O18" s="66"/>
      <c r="P18" s="21" t="s">
        <v>255</v>
      </c>
      <c r="Q18" s="21" t="s">
        <v>85</v>
      </c>
      <c r="R18" s="40">
        <v>1500</v>
      </c>
      <c r="S18" s="40">
        <v>1500</v>
      </c>
      <c r="T18" s="40">
        <v>1547</v>
      </c>
      <c r="U18" s="22">
        <f>103.1</f>
        <v>103.1</v>
      </c>
    </row>
    <row r="19" spans="1:22" ht="107.25" customHeight="1" x14ac:dyDescent="0.2">
      <c r="A19" s="16"/>
      <c r="B19" s="20" t="s">
        <v>49</v>
      </c>
      <c r="C19" s="65" t="s">
        <v>49</v>
      </c>
      <c r="D19" s="65"/>
      <c r="E19" s="65"/>
      <c r="F19" s="65"/>
      <c r="G19" s="65"/>
      <c r="H19" s="65"/>
      <c r="I19" s="66" t="s">
        <v>378</v>
      </c>
      <c r="J19" s="66"/>
      <c r="K19" s="66"/>
      <c r="L19" s="66" t="s">
        <v>379</v>
      </c>
      <c r="M19" s="66"/>
      <c r="N19" s="66"/>
      <c r="O19" s="66"/>
      <c r="P19" s="21" t="s">
        <v>255</v>
      </c>
      <c r="Q19" s="21" t="s">
        <v>85</v>
      </c>
      <c r="R19" s="40">
        <v>300</v>
      </c>
      <c r="S19" s="40">
        <v>300</v>
      </c>
      <c r="T19" s="40">
        <v>239</v>
      </c>
      <c r="U19" s="22">
        <f>79.7</f>
        <v>79.7</v>
      </c>
    </row>
    <row r="20" spans="1:22" ht="107.25" customHeight="1" x14ac:dyDescent="0.2">
      <c r="A20" s="16"/>
      <c r="B20" s="20" t="s">
        <v>49</v>
      </c>
      <c r="C20" s="65" t="s">
        <v>49</v>
      </c>
      <c r="D20" s="65"/>
      <c r="E20" s="65"/>
      <c r="F20" s="65"/>
      <c r="G20" s="65"/>
      <c r="H20" s="65"/>
      <c r="I20" s="66" t="s">
        <v>380</v>
      </c>
      <c r="J20" s="66"/>
      <c r="K20" s="66"/>
      <c r="L20" s="66" t="s">
        <v>381</v>
      </c>
      <c r="M20" s="66"/>
      <c r="N20" s="66"/>
      <c r="O20" s="66"/>
      <c r="P20" s="21" t="s">
        <v>48</v>
      </c>
      <c r="Q20" s="21" t="s">
        <v>85</v>
      </c>
      <c r="R20" s="21" t="s">
        <v>80</v>
      </c>
      <c r="S20" s="21">
        <v>24.27</v>
      </c>
      <c r="T20" s="21">
        <v>27.8</v>
      </c>
      <c r="U20" s="22">
        <f>114.5</f>
        <v>114.5</v>
      </c>
    </row>
    <row r="21" spans="1:22" ht="107.25" customHeight="1" x14ac:dyDescent="0.2">
      <c r="A21" s="16"/>
      <c r="B21" s="20" t="s">
        <v>49</v>
      </c>
      <c r="C21" s="65" t="s">
        <v>49</v>
      </c>
      <c r="D21" s="65"/>
      <c r="E21" s="65"/>
      <c r="F21" s="65"/>
      <c r="G21" s="65"/>
      <c r="H21" s="65"/>
      <c r="I21" s="66" t="s">
        <v>382</v>
      </c>
      <c r="J21" s="66"/>
      <c r="K21" s="66"/>
      <c r="L21" s="66" t="s">
        <v>383</v>
      </c>
      <c r="M21" s="66"/>
      <c r="N21" s="66"/>
      <c r="O21" s="66"/>
      <c r="P21" s="21" t="s">
        <v>48</v>
      </c>
      <c r="Q21" s="21" t="s">
        <v>85</v>
      </c>
      <c r="R21" s="21" t="s">
        <v>80</v>
      </c>
      <c r="S21" s="21">
        <v>43.87</v>
      </c>
      <c r="T21" s="21">
        <v>25.4</v>
      </c>
      <c r="U21" s="22">
        <f>57.9</f>
        <v>57.9</v>
      </c>
    </row>
    <row r="22" spans="1:22" ht="107.25" customHeight="1" thickBot="1" x14ac:dyDescent="0.25">
      <c r="A22" s="16"/>
      <c r="B22" s="20" t="s">
        <v>49</v>
      </c>
      <c r="C22" s="65" t="s">
        <v>49</v>
      </c>
      <c r="D22" s="65"/>
      <c r="E22" s="65"/>
      <c r="F22" s="65"/>
      <c r="G22" s="65"/>
      <c r="H22" s="65"/>
      <c r="I22" s="66" t="s">
        <v>384</v>
      </c>
      <c r="J22" s="66"/>
      <c r="K22" s="66"/>
      <c r="L22" s="66" t="s">
        <v>385</v>
      </c>
      <c r="M22" s="66"/>
      <c r="N22" s="66"/>
      <c r="O22" s="66"/>
      <c r="P22" s="21" t="s">
        <v>48</v>
      </c>
      <c r="Q22" s="21" t="s">
        <v>85</v>
      </c>
      <c r="R22" s="21" t="s">
        <v>80</v>
      </c>
      <c r="S22" s="21">
        <v>31.87</v>
      </c>
      <c r="T22" s="21">
        <v>46.8</v>
      </c>
      <c r="U22" s="22">
        <f>146.8</f>
        <v>146.80000000000001</v>
      </c>
    </row>
    <row r="23" spans="1:22" ht="107.25" customHeight="1" thickTop="1" x14ac:dyDescent="0.2">
      <c r="A23" s="16"/>
      <c r="B23" s="17" t="s">
        <v>44</v>
      </c>
      <c r="C23" s="74" t="s">
        <v>386</v>
      </c>
      <c r="D23" s="74"/>
      <c r="E23" s="74"/>
      <c r="F23" s="74"/>
      <c r="G23" s="74"/>
      <c r="H23" s="74"/>
      <c r="I23" s="75" t="s">
        <v>387</v>
      </c>
      <c r="J23" s="75"/>
      <c r="K23" s="75"/>
      <c r="L23" s="75" t="s">
        <v>388</v>
      </c>
      <c r="M23" s="75"/>
      <c r="N23" s="75"/>
      <c r="O23" s="75"/>
      <c r="P23" s="18" t="s">
        <v>389</v>
      </c>
      <c r="Q23" s="18" t="s">
        <v>91</v>
      </c>
      <c r="R23" s="41">
        <v>50</v>
      </c>
      <c r="S23" s="41">
        <v>50</v>
      </c>
      <c r="T23" s="41">
        <v>148</v>
      </c>
      <c r="U23" s="51">
        <f>296</f>
        <v>296</v>
      </c>
    </row>
    <row r="24" spans="1:22" ht="271.5" customHeight="1" x14ac:dyDescent="0.2">
      <c r="A24" s="16"/>
      <c r="B24" s="20" t="s">
        <v>49</v>
      </c>
      <c r="C24" s="65" t="s">
        <v>390</v>
      </c>
      <c r="D24" s="65"/>
      <c r="E24" s="65"/>
      <c r="F24" s="65"/>
      <c r="G24" s="65"/>
      <c r="H24" s="65"/>
      <c r="I24" s="66" t="s">
        <v>391</v>
      </c>
      <c r="J24" s="66"/>
      <c r="K24" s="66"/>
      <c r="L24" s="66" t="s">
        <v>392</v>
      </c>
      <c r="M24" s="66"/>
      <c r="N24" s="66"/>
      <c r="O24" s="66"/>
      <c r="P24" s="21" t="s">
        <v>255</v>
      </c>
      <c r="Q24" s="21" t="s">
        <v>91</v>
      </c>
      <c r="R24" s="40">
        <v>2200</v>
      </c>
      <c r="S24" s="40">
        <v>2200</v>
      </c>
      <c r="T24" s="40">
        <v>2022</v>
      </c>
      <c r="U24" s="22">
        <f>91.9</f>
        <v>91.9</v>
      </c>
    </row>
    <row r="25" spans="1:22" ht="107.25" customHeight="1" thickBot="1" x14ac:dyDescent="0.25">
      <c r="A25" s="16"/>
      <c r="B25" s="20" t="s">
        <v>49</v>
      </c>
      <c r="C25" s="65" t="s">
        <v>393</v>
      </c>
      <c r="D25" s="65"/>
      <c r="E25" s="65"/>
      <c r="F25" s="65"/>
      <c r="G25" s="65"/>
      <c r="H25" s="65"/>
      <c r="I25" s="66" t="s">
        <v>394</v>
      </c>
      <c r="J25" s="66"/>
      <c r="K25" s="66"/>
      <c r="L25" s="66" t="s">
        <v>395</v>
      </c>
      <c r="M25" s="66"/>
      <c r="N25" s="66"/>
      <c r="O25" s="66"/>
      <c r="P25" s="21" t="s">
        <v>396</v>
      </c>
      <c r="Q25" s="21" t="s">
        <v>91</v>
      </c>
      <c r="R25" s="40">
        <v>1000</v>
      </c>
      <c r="S25" s="40">
        <v>1000</v>
      </c>
      <c r="T25" s="40">
        <v>1236</v>
      </c>
      <c r="U25" s="22">
        <f>123.6</f>
        <v>123.6</v>
      </c>
    </row>
    <row r="26" spans="1:22" ht="14.25" customHeight="1" thickTop="1" thickBot="1" x14ac:dyDescent="0.25">
      <c r="B26" s="4" t="s">
        <v>58</v>
      </c>
      <c r="C26" s="5"/>
      <c r="D26" s="5"/>
      <c r="E26" s="5"/>
      <c r="F26" s="5"/>
      <c r="G26" s="5"/>
      <c r="H26" s="6"/>
      <c r="I26" s="6"/>
      <c r="J26" s="6"/>
      <c r="K26" s="6"/>
      <c r="L26" s="6"/>
      <c r="M26" s="6"/>
      <c r="N26" s="6"/>
      <c r="O26" s="6"/>
      <c r="P26" s="6"/>
      <c r="Q26" s="6"/>
      <c r="R26" s="6"/>
      <c r="S26" s="6"/>
      <c r="T26" s="6"/>
      <c r="U26" s="7"/>
      <c r="V26" s="23"/>
    </row>
    <row r="27" spans="1:22" ht="26.25" customHeight="1" thickTop="1" x14ac:dyDescent="0.2">
      <c r="B27" s="24"/>
      <c r="C27" s="25"/>
      <c r="D27" s="25"/>
      <c r="E27" s="25"/>
      <c r="F27" s="25"/>
      <c r="G27" s="25"/>
      <c r="H27" s="26"/>
      <c r="I27" s="26"/>
      <c r="J27" s="26"/>
      <c r="K27" s="26"/>
      <c r="L27" s="26"/>
      <c r="M27" s="26"/>
      <c r="N27" s="26"/>
      <c r="O27" s="26"/>
      <c r="P27" s="26"/>
      <c r="Q27" s="26"/>
      <c r="R27" s="27"/>
      <c r="S27" s="28" t="s">
        <v>33</v>
      </c>
      <c r="T27" s="28" t="s">
        <v>59</v>
      </c>
      <c r="U27" s="13" t="s">
        <v>60</v>
      </c>
    </row>
    <row r="28" spans="1:22" ht="26.25" customHeight="1" thickBot="1" x14ac:dyDescent="0.25">
      <c r="B28" s="29"/>
      <c r="C28" s="30"/>
      <c r="D28" s="30"/>
      <c r="E28" s="30"/>
      <c r="F28" s="30"/>
      <c r="G28" s="30"/>
      <c r="H28" s="31"/>
      <c r="I28" s="31"/>
      <c r="J28" s="31"/>
      <c r="K28" s="31"/>
      <c r="L28" s="31"/>
      <c r="M28" s="31"/>
      <c r="N28" s="31"/>
      <c r="O28" s="31"/>
      <c r="P28" s="31"/>
      <c r="Q28" s="31"/>
      <c r="R28" s="31"/>
      <c r="S28" s="32" t="s">
        <v>61</v>
      </c>
      <c r="T28" s="33" t="s">
        <v>61</v>
      </c>
      <c r="U28" s="33" t="s">
        <v>62</v>
      </c>
    </row>
    <row r="29" spans="1:22" ht="13.5" customHeight="1" thickBot="1" x14ac:dyDescent="0.25">
      <c r="B29" s="67" t="s">
        <v>63</v>
      </c>
      <c r="C29" s="68"/>
      <c r="D29" s="68"/>
      <c r="E29" s="34"/>
      <c r="F29" s="34"/>
      <c r="G29" s="34"/>
      <c r="H29" s="35"/>
      <c r="I29" s="35"/>
      <c r="J29" s="35"/>
      <c r="K29" s="35"/>
      <c r="L29" s="35"/>
      <c r="M29" s="35"/>
      <c r="N29" s="35"/>
      <c r="O29" s="35"/>
      <c r="P29" s="36"/>
      <c r="Q29" s="36"/>
      <c r="R29" s="36"/>
      <c r="S29" s="53">
        <v>525.60594900000001</v>
      </c>
      <c r="T29" s="53">
        <v>511.42109342000003</v>
      </c>
      <c r="U29" s="54">
        <f>+IF(ISERR(T29/S29*100),"N/A",ROUND(T29/S29*100,1))</f>
        <v>97.3</v>
      </c>
    </row>
    <row r="30" spans="1:22" ht="13.5" customHeight="1" thickBot="1" x14ac:dyDescent="0.25">
      <c r="B30" s="69" t="s">
        <v>64</v>
      </c>
      <c r="C30" s="70"/>
      <c r="D30" s="70"/>
      <c r="E30" s="37"/>
      <c r="F30" s="37"/>
      <c r="G30" s="37"/>
      <c r="H30" s="38"/>
      <c r="I30" s="38"/>
      <c r="J30" s="38"/>
      <c r="K30" s="38"/>
      <c r="L30" s="38"/>
      <c r="M30" s="38"/>
      <c r="N30" s="38"/>
      <c r="O30" s="38"/>
      <c r="P30" s="39"/>
      <c r="Q30" s="39"/>
      <c r="R30" s="39"/>
      <c r="S30" s="53">
        <v>511.52121929999993</v>
      </c>
      <c r="T30" s="53">
        <v>511.42109342000003</v>
      </c>
      <c r="U30" s="54">
        <f>+IF(ISERR(T30/S30*100),"N/A",ROUND(T30/S30*100,1))</f>
        <v>100</v>
      </c>
    </row>
    <row r="31" spans="1:22" ht="14.85" customHeight="1" thickTop="1" thickBot="1" x14ac:dyDescent="0.25">
      <c r="B31" s="4" t="s">
        <v>65</v>
      </c>
      <c r="C31" s="5"/>
      <c r="D31" s="5"/>
      <c r="E31" s="5"/>
      <c r="F31" s="5"/>
      <c r="G31" s="5"/>
      <c r="H31" s="6"/>
      <c r="I31" s="6"/>
      <c r="J31" s="6"/>
      <c r="K31" s="6"/>
      <c r="L31" s="6"/>
      <c r="M31" s="6"/>
      <c r="N31" s="6"/>
      <c r="O31" s="6"/>
      <c r="P31" s="6"/>
      <c r="Q31" s="6"/>
      <c r="R31" s="6"/>
      <c r="S31" s="6"/>
      <c r="T31" s="6"/>
      <c r="U31" s="7"/>
    </row>
    <row r="32" spans="1:22" ht="44.25" customHeight="1" thickTop="1" x14ac:dyDescent="0.2">
      <c r="B32" s="71" t="s">
        <v>66</v>
      </c>
      <c r="C32" s="72"/>
      <c r="D32" s="72"/>
      <c r="E32" s="72"/>
      <c r="F32" s="72"/>
      <c r="G32" s="72"/>
      <c r="H32" s="72"/>
      <c r="I32" s="72"/>
      <c r="J32" s="72"/>
      <c r="K32" s="72"/>
      <c r="L32" s="72"/>
      <c r="M32" s="72"/>
      <c r="N32" s="72"/>
      <c r="O32" s="72"/>
      <c r="P32" s="72"/>
      <c r="Q32" s="72"/>
      <c r="R32" s="72"/>
      <c r="S32" s="72"/>
      <c r="T32" s="72"/>
      <c r="U32" s="73"/>
    </row>
    <row r="33" spans="2:21" ht="86.45" customHeight="1" x14ac:dyDescent="0.2">
      <c r="B33" s="59" t="s">
        <v>397</v>
      </c>
      <c r="C33" s="60"/>
      <c r="D33" s="60"/>
      <c r="E33" s="60"/>
      <c r="F33" s="60"/>
      <c r="G33" s="60"/>
      <c r="H33" s="60"/>
      <c r="I33" s="60"/>
      <c r="J33" s="60"/>
      <c r="K33" s="60"/>
      <c r="L33" s="60"/>
      <c r="M33" s="60"/>
      <c r="N33" s="60"/>
      <c r="O33" s="60"/>
      <c r="P33" s="60"/>
      <c r="Q33" s="60"/>
      <c r="R33" s="60"/>
      <c r="S33" s="60"/>
      <c r="T33" s="60"/>
      <c r="U33" s="61"/>
    </row>
    <row r="34" spans="2:21" ht="98.45" customHeight="1" x14ac:dyDescent="0.2">
      <c r="B34" s="59" t="s">
        <v>398</v>
      </c>
      <c r="C34" s="60"/>
      <c r="D34" s="60"/>
      <c r="E34" s="60"/>
      <c r="F34" s="60"/>
      <c r="G34" s="60"/>
      <c r="H34" s="60"/>
      <c r="I34" s="60"/>
      <c r="J34" s="60"/>
      <c r="K34" s="60"/>
      <c r="L34" s="60"/>
      <c r="M34" s="60"/>
      <c r="N34" s="60"/>
      <c r="O34" s="60"/>
      <c r="P34" s="60"/>
      <c r="Q34" s="60"/>
      <c r="R34" s="60"/>
      <c r="S34" s="60"/>
      <c r="T34" s="60"/>
      <c r="U34" s="61"/>
    </row>
    <row r="35" spans="2:21" ht="84" customHeight="1" x14ac:dyDescent="0.2">
      <c r="B35" s="59" t="s">
        <v>399</v>
      </c>
      <c r="C35" s="60"/>
      <c r="D35" s="60"/>
      <c r="E35" s="60"/>
      <c r="F35" s="60"/>
      <c r="G35" s="60"/>
      <c r="H35" s="60"/>
      <c r="I35" s="60"/>
      <c r="J35" s="60"/>
      <c r="K35" s="60"/>
      <c r="L35" s="60"/>
      <c r="M35" s="60"/>
      <c r="N35" s="60"/>
      <c r="O35" s="60"/>
      <c r="P35" s="60"/>
      <c r="Q35" s="60"/>
      <c r="R35" s="60"/>
      <c r="S35" s="60"/>
      <c r="T35" s="60"/>
      <c r="U35" s="61"/>
    </row>
    <row r="36" spans="2:21" ht="84" customHeight="1" x14ac:dyDescent="0.2">
      <c r="B36" s="59" t="s">
        <v>400</v>
      </c>
      <c r="C36" s="60"/>
      <c r="D36" s="60"/>
      <c r="E36" s="60"/>
      <c r="F36" s="60"/>
      <c r="G36" s="60"/>
      <c r="H36" s="60"/>
      <c r="I36" s="60"/>
      <c r="J36" s="60"/>
      <c r="K36" s="60"/>
      <c r="L36" s="60"/>
      <c r="M36" s="60"/>
      <c r="N36" s="60"/>
      <c r="O36" s="60"/>
      <c r="P36" s="60"/>
      <c r="Q36" s="60"/>
      <c r="R36" s="60"/>
      <c r="S36" s="60"/>
      <c r="T36" s="60"/>
      <c r="U36" s="61"/>
    </row>
    <row r="37" spans="2:21" ht="84" customHeight="1" x14ac:dyDescent="0.2">
      <c r="B37" s="59" t="s">
        <v>401</v>
      </c>
      <c r="C37" s="60"/>
      <c r="D37" s="60"/>
      <c r="E37" s="60"/>
      <c r="F37" s="60"/>
      <c r="G37" s="60"/>
      <c r="H37" s="60"/>
      <c r="I37" s="60"/>
      <c r="J37" s="60"/>
      <c r="K37" s="60"/>
      <c r="L37" s="60"/>
      <c r="M37" s="60"/>
      <c r="N37" s="60"/>
      <c r="O37" s="60"/>
      <c r="P37" s="60"/>
      <c r="Q37" s="60"/>
      <c r="R37" s="60"/>
      <c r="S37" s="60"/>
      <c r="T37" s="60"/>
      <c r="U37" s="61"/>
    </row>
    <row r="38" spans="2:21" ht="84" customHeight="1" x14ac:dyDescent="0.2">
      <c r="B38" s="59" t="s">
        <v>402</v>
      </c>
      <c r="C38" s="60"/>
      <c r="D38" s="60"/>
      <c r="E38" s="60"/>
      <c r="F38" s="60"/>
      <c r="G38" s="60"/>
      <c r="H38" s="60"/>
      <c r="I38" s="60"/>
      <c r="J38" s="60"/>
      <c r="K38" s="60"/>
      <c r="L38" s="60"/>
      <c r="M38" s="60"/>
      <c r="N38" s="60"/>
      <c r="O38" s="60"/>
      <c r="P38" s="60"/>
      <c r="Q38" s="60"/>
      <c r="R38" s="60"/>
      <c r="S38" s="60"/>
      <c r="T38" s="60"/>
      <c r="U38" s="61"/>
    </row>
    <row r="39" spans="2:21" ht="153" customHeight="1" x14ac:dyDescent="0.2">
      <c r="B39" s="59" t="s">
        <v>403</v>
      </c>
      <c r="C39" s="60"/>
      <c r="D39" s="60"/>
      <c r="E39" s="60"/>
      <c r="F39" s="60"/>
      <c r="G39" s="60"/>
      <c r="H39" s="60"/>
      <c r="I39" s="60"/>
      <c r="J39" s="60"/>
      <c r="K39" s="60"/>
      <c r="L39" s="60"/>
      <c r="M39" s="60"/>
      <c r="N39" s="60"/>
      <c r="O39" s="60"/>
      <c r="P39" s="60"/>
      <c r="Q39" s="60"/>
      <c r="R39" s="60"/>
      <c r="S39" s="60"/>
      <c r="T39" s="60"/>
      <c r="U39" s="61"/>
    </row>
    <row r="40" spans="2:21" ht="84.75" customHeight="1" x14ac:dyDescent="0.2">
      <c r="B40" s="59" t="s">
        <v>404</v>
      </c>
      <c r="C40" s="60"/>
      <c r="D40" s="60"/>
      <c r="E40" s="60"/>
      <c r="F40" s="60"/>
      <c r="G40" s="60"/>
      <c r="H40" s="60"/>
      <c r="I40" s="60"/>
      <c r="J40" s="60"/>
      <c r="K40" s="60"/>
      <c r="L40" s="60"/>
      <c r="M40" s="60"/>
      <c r="N40" s="60"/>
      <c r="O40" s="60"/>
      <c r="P40" s="60"/>
      <c r="Q40" s="60"/>
      <c r="R40" s="60"/>
      <c r="S40" s="60"/>
      <c r="T40" s="60"/>
      <c r="U40" s="61"/>
    </row>
    <row r="41" spans="2:21" ht="163.69999999999999" customHeight="1" x14ac:dyDescent="0.2">
      <c r="B41" s="59" t="s">
        <v>405</v>
      </c>
      <c r="C41" s="60"/>
      <c r="D41" s="60"/>
      <c r="E41" s="60"/>
      <c r="F41" s="60"/>
      <c r="G41" s="60"/>
      <c r="H41" s="60"/>
      <c r="I41" s="60"/>
      <c r="J41" s="60"/>
      <c r="K41" s="60"/>
      <c r="L41" s="60"/>
      <c r="M41" s="60"/>
      <c r="N41" s="60"/>
      <c r="O41" s="60"/>
      <c r="P41" s="60"/>
      <c r="Q41" s="60"/>
      <c r="R41" s="60"/>
      <c r="S41" s="60"/>
      <c r="T41" s="60"/>
      <c r="U41" s="61"/>
    </row>
    <row r="42" spans="2:21" ht="100.5" customHeight="1" x14ac:dyDescent="0.2">
      <c r="B42" s="59" t="s">
        <v>406</v>
      </c>
      <c r="C42" s="60"/>
      <c r="D42" s="60"/>
      <c r="E42" s="60"/>
      <c r="F42" s="60"/>
      <c r="G42" s="60"/>
      <c r="H42" s="60"/>
      <c r="I42" s="60"/>
      <c r="J42" s="60"/>
      <c r="K42" s="60"/>
      <c r="L42" s="60"/>
      <c r="M42" s="60"/>
      <c r="N42" s="60"/>
      <c r="O42" s="60"/>
      <c r="P42" s="60"/>
      <c r="Q42" s="60"/>
      <c r="R42" s="60"/>
      <c r="S42" s="60"/>
      <c r="T42" s="60"/>
      <c r="U42" s="61"/>
    </row>
    <row r="43" spans="2:21" ht="91.5" customHeight="1" x14ac:dyDescent="0.2">
      <c r="B43" s="59" t="s">
        <v>407</v>
      </c>
      <c r="C43" s="60"/>
      <c r="D43" s="60"/>
      <c r="E43" s="60"/>
      <c r="F43" s="60"/>
      <c r="G43" s="60"/>
      <c r="H43" s="60"/>
      <c r="I43" s="60"/>
      <c r="J43" s="60"/>
      <c r="K43" s="60"/>
      <c r="L43" s="60"/>
      <c r="M43" s="60"/>
      <c r="N43" s="60"/>
      <c r="O43" s="60"/>
      <c r="P43" s="60"/>
      <c r="Q43" s="60"/>
      <c r="R43" s="60"/>
      <c r="S43" s="60"/>
      <c r="T43" s="60"/>
      <c r="U43" s="61"/>
    </row>
    <row r="44" spans="2:21" ht="90.95" customHeight="1" x14ac:dyDescent="0.2">
      <c r="B44" s="59" t="s">
        <v>408</v>
      </c>
      <c r="C44" s="60"/>
      <c r="D44" s="60"/>
      <c r="E44" s="60"/>
      <c r="F44" s="60"/>
      <c r="G44" s="60"/>
      <c r="H44" s="60"/>
      <c r="I44" s="60"/>
      <c r="J44" s="60"/>
      <c r="K44" s="60"/>
      <c r="L44" s="60"/>
      <c r="M44" s="60"/>
      <c r="N44" s="60"/>
      <c r="O44" s="60"/>
      <c r="P44" s="60"/>
      <c r="Q44" s="60"/>
      <c r="R44" s="60"/>
      <c r="S44" s="60"/>
      <c r="T44" s="60"/>
      <c r="U44" s="61"/>
    </row>
    <row r="45" spans="2:21" ht="66" customHeight="1" x14ac:dyDescent="0.2">
      <c r="B45" s="59" t="s">
        <v>409</v>
      </c>
      <c r="C45" s="60"/>
      <c r="D45" s="60"/>
      <c r="E45" s="60"/>
      <c r="F45" s="60"/>
      <c r="G45" s="60"/>
      <c r="H45" s="60"/>
      <c r="I45" s="60"/>
      <c r="J45" s="60"/>
      <c r="K45" s="60"/>
      <c r="L45" s="60"/>
      <c r="M45" s="60"/>
      <c r="N45" s="60"/>
      <c r="O45" s="60"/>
      <c r="P45" s="60"/>
      <c r="Q45" s="60"/>
      <c r="R45" s="60"/>
      <c r="S45" s="60"/>
      <c r="T45" s="60"/>
      <c r="U45" s="61"/>
    </row>
    <row r="46" spans="2:21" ht="78" customHeight="1" x14ac:dyDescent="0.2">
      <c r="B46" s="59" t="s">
        <v>410</v>
      </c>
      <c r="C46" s="60"/>
      <c r="D46" s="60"/>
      <c r="E46" s="60"/>
      <c r="F46" s="60"/>
      <c r="G46" s="60"/>
      <c r="H46" s="60"/>
      <c r="I46" s="60"/>
      <c r="J46" s="60"/>
      <c r="K46" s="60"/>
      <c r="L46" s="60"/>
      <c r="M46" s="60"/>
      <c r="N46" s="60"/>
      <c r="O46" s="60"/>
      <c r="P46" s="60"/>
      <c r="Q46" s="60"/>
      <c r="R46" s="60"/>
      <c r="S46" s="60"/>
      <c r="T46" s="60"/>
      <c r="U46" s="61"/>
    </row>
    <row r="47" spans="2:21" ht="78" customHeight="1" thickBot="1" x14ac:dyDescent="0.25">
      <c r="B47" s="62" t="s">
        <v>411</v>
      </c>
      <c r="C47" s="63"/>
      <c r="D47" s="63"/>
      <c r="E47" s="63"/>
      <c r="F47" s="63"/>
      <c r="G47" s="63"/>
      <c r="H47" s="63"/>
      <c r="I47" s="63"/>
      <c r="J47" s="63"/>
      <c r="K47" s="63"/>
      <c r="L47" s="63"/>
      <c r="M47" s="63"/>
      <c r="N47" s="63"/>
      <c r="O47" s="63"/>
      <c r="P47" s="63"/>
      <c r="Q47" s="63"/>
      <c r="R47" s="63"/>
      <c r="S47" s="63"/>
      <c r="T47" s="63"/>
      <c r="U47" s="64"/>
    </row>
  </sheetData>
  <mergeCells count="84">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C18:H18"/>
    <mergeCell ref="I18:K18"/>
    <mergeCell ref="L18:O18"/>
    <mergeCell ref="C19:H19"/>
    <mergeCell ref="I19:K19"/>
    <mergeCell ref="L19:O19"/>
    <mergeCell ref="C20:H20"/>
    <mergeCell ref="I20:K20"/>
    <mergeCell ref="L20:O20"/>
    <mergeCell ref="C21:H21"/>
    <mergeCell ref="I21:K21"/>
    <mergeCell ref="L21:O21"/>
    <mergeCell ref="C22:H22"/>
    <mergeCell ref="I22:K22"/>
    <mergeCell ref="L22:O22"/>
    <mergeCell ref="C23:H23"/>
    <mergeCell ref="I23:K23"/>
    <mergeCell ref="L23:O23"/>
    <mergeCell ref="B35:U35"/>
    <mergeCell ref="C24:H24"/>
    <mergeCell ref="I24:K24"/>
    <mergeCell ref="L24:O24"/>
    <mergeCell ref="C25:H25"/>
    <mergeCell ref="I25:K25"/>
    <mergeCell ref="L25:O25"/>
    <mergeCell ref="B29:D29"/>
    <mergeCell ref="B30:D30"/>
    <mergeCell ref="B32:U32"/>
    <mergeCell ref="B33:U33"/>
    <mergeCell ref="B34:U34"/>
    <mergeCell ref="B47:U47"/>
    <mergeCell ref="B36:U36"/>
    <mergeCell ref="B37:U37"/>
    <mergeCell ref="B38:U38"/>
    <mergeCell ref="B39:U39"/>
    <mergeCell ref="B40:U40"/>
    <mergeCell ref="B41:U41"/>
    <mergeCell ref="B42:U42"/>
    <mergeCell ref="B43:U43"/>
    <mergeCell ref="B44:U44"/>
    <mergeCell ref="B45:U45"/>
    <mergeCell ref="B46:U46"/>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51"/>
  <sheetViews>
    <sheetView zoomScale="90" zoomScaleNormal="90" zoomScaleSheetLayoutView="80" workbookViewId="0">
      <selection activeCell="U15" sqref="U15"/>
    </sheetView>
  </sheetViews>
  <sheetFormatPr baseColWidth="10" defaultColWidth="10" defaultRowHeight="12.75" x14ac:dyDescent="0.2"/>
  <cols>
    <col min="1" max="1" width="3.5" style="1" customWidth="1"/>
    <col min="2" max="2" width="14.6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8.62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375" style="1" customWidth="1"/>
    <col min="19" max="19" width="13" style="1" customWidth="1"/>
    <col min="20" max="20" width="10.75" style="1" customWidth="1"/>
    <col min="21" max="21" width="12.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5" t="s">
        <v>0</v>
      </c>
      <c r="C1" s="55"/>
      <c r="D1" s="55"/>
      <c r="E1" s="55"/>
      <c r="F1" s="55"/>
      <c r="G1" s="55"/>
      <c r="H1" s="55"/>
      <c r="I1" s="55"/>
      <c r="J1" s="55"/>
      <c r="K1" s="55"/>
      <c r="L1" s="55"/>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42" t="s">
        <v>6</v>
      </c>
      <c r="C4" s="43" t="s">
        <v>412</v>
      </c>
      <c r="D4" s="102" t="s">
        <v>413</v>
      </c>
      <c r="E4" s="102"/>
      <c r="F4" s="102"/>
      <c r="G4" s="102"/>
      <c r="H4" s="102"/>
      <c r="I4" s="44"/>
      <c r="J4" s="45" t="s">
        <v>9</v>
      </c>
      <c r="K4" s="46" t="s">
        <v>10</v>
      </c>
      <c r="L4" s="103" t="s">
        <v>11</v>
      </c>
      <c r="M4" s="103"/>
      <c r="N4" s="103"/>
      <c r="O4" s="103"/>
      <c r="P4" s="45" t="s">
        <v>12</v>
      </c>
      <c r="Q4" s="103" t="s">
        <v>414</v>
      </c>
      <c r="R4" s="103"/>
      <c r="S4" s="45" t="s">
        <v>14</v>
      </c>
      <c r="T4" s="103" t="s">
        <v>156</v>
      </c>
      <c r="U4" s="104"/>
    </row>
    <row r="5" spans="1:21" ht="15.75" customHeight="1" x14ac:dyDescent="0.2">
      <c r="B5" s="99" t="s">
        <v>15</v>
      </c>
      <c r="C5" s="100"/>
      <c r="D5" s="100"/>
      <c r="E5" s="100"/>
      <c r="F5" s="100"/>
      <c r="G5" s="100"/>
      <c r="H5" s="100"/>
      <c r="I5" s="100"/>
      <c r="J5" s="100"/>
      <c r="K5" s="100"/>
      <c r="L5" s="100"/>
      <c r="M5" s="100"/>
      <c r="N5" s="100"/>
      <c r="O5" s="100"/>
      <c r="P5" s="100"/>
      <c r="Q5" s="100"/>
      <c r="R5" s="100"/>
      <c r="S5" s="100"/>
      <c r="T5" s="100"/>
      <c r="U5" s="101"/>
    </row>
    <row r="6" spans="1:21" ht="90" customHeight="1" thickBot="1" x14ac:dyDescent="0.25">
      <c r="B6" s="47" t="s">
        <v>16</v>
      </c>
      <c r="C6" s="76" t="s">
        <v>17</v>
      </c>
      <c r="D6" s="76"/>
      <c r="E6" s="76"/>
      <c r="F6" s="76"/>
      <c r="G6" s="76"/>
      <c r="H6" s="48"/>
      <c r="I6" s="48"/>
      <c r="J6" s="48" t="s">
        <v>18</v>
      </c>
      <c r="K6" s="76" t="s">
        <v>238</v>
      </c>
      <c r="L6" s="76"/>
      <c r="M6" s="76"/>
      <c r="N6" s="49"/>
      <c r="O6" s="48" t="s">
        <v>20</v>
      </c>
      <c r="P6" s="76" t="s">
        <v>239</v>
      </c>
      <c r="Q6" s="76"/>
      <c r="R6" s="50"/>
      <c r="S6" s="48" t="s">
        <v>22</v>
      </c>
      <c r="T6" s="76" t="s">
        <v>240</v>
      </c>
      <c r="U6" s="77"/>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8" t="s">
        <v>25</v>
      </c>
      <c r="C8" s="81" t="s">
        <v>26</v>
      </c>
      <c r="D8" s="81"/>
      <c r="E8" s="81"/>
      <c r="F8" s="81"/>
      <c r="G8" s="81"/>
      <c r="H8" s="82"/>
      <c r="I8" s="87" t="s">
        <v>27</v>
      </c>
      <c r="J8" s="88"/>
      <c r="K8" s="88"/>
      <c r="L8" s="88"/>
      <c r="M8" s="88"/>
      <c r="N8" s="88"/>
      <c r="O8" s="88"/>
      <c r="P8" s="88"/>
      <c r="Q8" s="88"/>
      <c r="R8" s="88"/>
      <c r="S8" s="89"/>
      <c r="T8" s="90" t="s">
        <v>28</v>
      </c>
      <c r="U8" s="91"/>
    </row>
    <row r="9" spans="1:21" ht="19.5" customHeight="1" x14ac:dyDescent="0.2">
      <c r="B9" s="79"/>
      <c r="C9" s="83"/>
      <c r="D9" s="83"/>
      <c r="E9" s="83"/>
      <c r="F9" s="83"/>
      <c r="G9" s="83"/>
      <c r="H9" s="84"/>
      <c r="I9" s="92" t="s">
        <v>29</v>
      </c>
      <c r="J9" s="81"/>
      <c r="K9" s="81"/>
      <c r="L9" s="81" t="s">
        <v>30</v>
      </c>
      <c r="M9" s="81"/>
      <c r="N9" s="81"/>
      <c r="O9" s="81"/>
      <c r="P9" s="81" t="s">
        <v>31</v>
      </c>
      <c r="Q9" s="81" t="s">
        <v>32</v>
      </c>
      <c r="R9" s="95" t="s">
        <v>33</v>
      </c>
      <c r="S9" s="96"/>
      <c r="T9" s="81" t="s">
        <v>34</v>
      </c>
      <c r="U9" s="97" t="s">
        <v>35</v>
      </c>
    </row>
    <row r="10" spans="1:21" ht="26.25" customHeight="1" thickBot="1" x14ac:dyDescent="0.25">
      <c r="B10" s="80"/>
      <c r="C10" s="85"/>
      <c r="D10" s="85"/>
      <c r="E10" s="85"/>
      <c r="F10" s="85"/>
      <c r="G10" s="85"/>
      <c r="H10" s="86"/>
      <c r="I10" s="93"/>
      <c r="J10" s="94"/>
      <c r="K10" s="94"/>
      <c r="L10" s="94"/>
      <c r="M10" s="94"/>
      <c r="N10" s="94"/>
      <c r="O10" s="94"/>
      <c r="P10" s="94"/>
      <c r="Q10" s="94"/>
      <c r="R10" s="14" t="s">
        <v>36</v>
      </c>
      <c r="S10" s="15" t="s">
        <v>37</v>
      </c>
      <c r="T10" s="94"/>
      <c r="U10" s="98"/>
    </row>
    <row r="11" spans="1:21" ht="75" customHeight="1" thickTop="1" thickBot="1" x14ac:dyDescent="0.25">
      <c r="A11" s="16"/>
      <c r="B11" s="17" t="s">
        <v>75</v>
      </c>
      <c r="C11" s="74" t="s">
        <v>415</v>
      </c>
      <c r="D11" s="74"/>
      <c r="E11" s="74"/>
      <c r="F11" s="74"/>
      <c r="G11" s="74"/>
      <c r="H11" s="74"/>
      <c r="I11" s="75" t="s">
        <v>416</v>
      </c>
      <c r="J11" s="75"/>
      <c r="K11" s="75"/>
      <c r="L11" s="75" t="s">
        <v>417</v>
      </c>
      <c r="M11" s="75"/>
      <c r="N11" s="75"/>
      <c r="O11" s="75"/>
      <c r="P11" s="18" t="s">
        <v>418</v>
      </c>
      <c r="Q11" s="18" t="s">
        <v>297</v>
      </c>
      <c r="R11" s="18">
        <v>0.01</v>
      </c>
      <c r="S11" s="18">
        <v>0.01</v>
      </c>
      <c r="T11" s="18">
        <v>0.16</v>
      </c>
      <c r="U11" s="51">
        <f>228</f>
        <v>228</v>
      </c>
    </row>
    <row r="12" spans="1:21" ht="75" customHeight="1" thickTop="1" x14ac:dyDescent="0.2">
      <c r="A12" s="16"/>
      <c r="B12" s="17" t="s">
        <v>81</v>
      </c>
      <c r="C12" s="74" t="s">
        <v>419</v>
      </c>
      <c r="D12" s="74"/>
      <c r="E12" s="74"/>
      <c r="F12" s="74"/>
      <c r="G12" s="74"/>
      <c r="H12" s="74"/>
      <c r="I12" s="75" t="s">
        <v>420</v>
      </c>
      <c r="J12" s="75"/>
      <c r="K12" s="75"/>
      <c r="L12" s="75" t="s">
        <v>421</v>
      </c>
      <c r="M12" s="75"/>
      <c r="N12" s="75"/>
      <c r="O12" s="75"/>
      <c r="P12" s="18" t="s">
        <v>48</v>
      </c>
      <c r="Q12" s="18" t="s">
        <v>165</v>
      </c>
      <c r="R12" s="18">
        <v>72</v>
      </c>
      <c r="S12" s="18">
        <v>72</v>
      </c>
      <c r="T12" s="18">
        <v>79.3</v>
      </c>
      <c r="U12" s="51">
        <f>110.13</f>
        <v>110.13</v>
      </c>
    </row>
    <row r="13" spans="1:21" ht="102" customHeight="1" thickBot="1" x14ac:dyDescent="0.25">
      <c r="A13" s="16"/>
      <c r="B13" s="20" t="s">
        <v>49</v>
      </c>
      <c r="C13" s="65" t="s">
        <v>49</v>
      </c>
      <c r="D13" s="65"/>
      <c r="E13" s="65"/>
      <c r="F13" s="65"/>
      <c r="G13" s="65"/>
      <c r="H13" s="65"/>
      <c r="I13" s="66" t="s">
        <v>422</v>
      </c>
      <c r="J13" s="66"/>
      <c r="K13" s="66"/>
      <c r="L13" s="66" t="s">
        <v>423</v>
      </c>
      <c r="M13" s="66"/>
      <c r="N13" s="66"/>
      <c r="O13" s="66"/>
      <c r="P13" s="21" t="s">
        <v>48</v>
      </c>
      <c r="Q13" s="21" t="s">
        <v>165</v>
      </c>
      <c r="R13" s="21">
        <v>60</v>
      </c>
      <c r="S13" s="21">
        <v>60</v>
      </c>
      <c r="T13" s="21">
        <v>58.9</v>
      </c>
      <c r="U13" s="22">
        <f>98.16</f>
        <v>98.16</v>
      </c>
    </row>
    <row r="14" spans="1:21" ht="75" customHeight="1" thickTop="1" x14ac:dyDescent="0.2">
      <c r="A14" s="16"/>
      <c r="B14" s="17" t="s">
        <v>38</v>
      </c>
      <c r="C14" s="74" t="s">
        <v>424</v>
      </c>
      <c r="D14" s="74"/>
      <c r="E14" s="74"/>
      <c r="F14" s="74"/>
      <c r="G14" s="74"/>
      <c r="H14" s="74"/>
      <c r="I14" s="75" t="s">
        <v>425</v>
      </c>
      <c r="J14" s="75"/>
      <c r="K14" s="75"/>
      <c r="L14" s="75" t="s">
        <v>426</v>
      </c>
      <c r="M14" s="75"/>
      <c r="N14" s="75"/>
      <c r="O14" s="75"/>
      <c r="P14" s="18" t="s">
        <v>255</v>
      </c>
      <c r="Q14" s="18" t="s">
        <v>85</v>
      </c>
      <c r="R14" s="41">
        <v>1300</v>
      </c>
      <c r="S14" s="41">
        <v>1300</v>
      </c>
      <c r="T14" s="41">
        <v>1350</v>
      </c>
      <c r="U14" s="51">
        <f>103.84</f>
        <v>103.84</v>
      </c>
    </row>
    <row r="15" spans="1:21" ht="99.75" customHeight="1" x14ac:dyDescent="0.2">
      <c r="A15" s="16"/>
      <c r="B15" s="20" t="s">
        <v>49</v>
      </c>
      <c r="C15" s="65" t="s">
        <v>49</v>
      </c>
      <c r="D15" s="65"/>
      <c r="E15" s="65"/>
      <c r="F15" s="65"/>
      <c r="G15" s="65"/>
      <c r="H15" s="65"/>
      <c r="I15" s="66" t="s">
        <v>427</v>
      </c>
      <c r="J15" s="66"/>
      <c r="K15" s="66"/>
      <c r="L15" s="66" t="s">
        <v>428</v>
      </c>
      <c r="M15" s="66"/>
      <c r="N15" s="66"/>
      <c r="O15" s="66"/>
      <c r="P15" s="21" t="s">
        <v>48</v>
      </c>
      <c r="Q15" s="21" t="s">
        <v>95</v>
      </c>
      <c r="R15" s="21">
        <v>23</v>
      </c>
      <c r="S15" s="21">
        <v>23</v>
      </c>
      <c r="T15" s="21">
        <v>25.5</v>
      </c>
      <c r="U15" s="22">
        <f>110.89</f>
        <v>110.89</v>
      </c>
    </row>
    <row r="16" spans="1:21" ht="99.75" customHeight="1" x14ac:dyDescent="0.2">
      <c r="A16" s="16"/>
      <c r="B16" s="20" t="s">
        <v>49</v>
      </c>
      <c r="C16" s="65" t="s">
        <v>49</v>
      </c>
      <c r="D16" s="65"/>
      <c r="E16" s="65"/>
      <c r="F16" s="65"/>
      <c r="G16" s="65"/>
      <c r="H16" s="65"/>
      <c r="I16" s="66" t="s">
        <v>429</v>
      </c>
      <c r="J16" s="66"/>
      <c r="K16" s="66"/>
      <c r="L16" s="66" t="s">
        <v>430</v>
      </c>
      <c r="M16" s="66"/>
      <c r="N16" s="66"/>
      <c r="O16" s="66"/>
      <c r="P16" s="21" t="s">
        <v>48</v>
      </c>
      <c r="Q16" s="21" t="s">
        <v>124</v>
      </c>
      <c r="R16" s="21">
        <v>9</v>
      </c>
      <c r="S16" s="21">
        <v>9</v>
      </c>
      <c r="T16" s="21">
        <v>9.5</v>
      </c>
      <c r="U16" s="22">
        <f>105.5</f>
        <v>105.5</v>
      </c>
    </row>
    <row r="17" spans="1:22" ht="99.75" customHeight="1" x14ac:dyDescent="0.2">
      <c r="A17" s="16"/>
      <c r="B17" s="20" t="s">
        <v>49</v>
      </c>
      <c r="C17" s="65" t="s">
        <v>49</v>
      </c>
      <c r="D17" s="65"/>
      <c r="E17" s="65"/>
      <c r="F17" s="65"/>
      <c r="G17" s="65"/>
      <c r="H17" s="65"/>
      <c r="I17" s="66" t="s">
        <v>431</v>
      </c>
      <c r="J17" s="66"/>
      <c r="K17" s="66"/>
      <c r="L17" s="66" t="s">
        <v>432</v>
      </c>
      <c r="M17" s="66"/>
      <c r="N17" s="66"/>
      <c r="O17" s="66"/>
      <c r="P17" s="21" t="s">
        <v>48</v>
      </c>
      <c r="Q17" s="21" t="s">
        <v>124</v>
      </c>
      <c r="R17" s="21">
        <v>22</v>
      </c>
      <c r="S17" s="21">
        <v>23</v>
      </c>
      <c r="T17" s="21">
        <v>26.38</v>
      </c>
      <c r="U17" s="22">
        <f>114.71</f>
        <v>114.71</v>
      </c>
    </row>
    <row r="18" spans="1:22" ht="99.75" customHeight="1" x14ac:dyDescent="0.2">
      <c r="A18" s="16"/>
      <c r="B18" s="20" t="s">
        <v>49</v>
      </c>
      <c r="C18" s="65" t="s">
        <v>49</v>
      </c>
      <c r="D18" s="65"/>
      <c r="E18" s="65"/>
      <c r="F18" s="65"/>
      <c r="G18" s="65"/>
      <c r="H18" s="65"/>
      <c r="I18" s="66" t="s">
        <v>433</v>
      </c>
      <c r="J18" s="66"/>
      <c r="K18" s="66"/>
      <c r="L18" s="66" t="s">
        <v>434</v>
      </c>
      <c r="M18" s="66"/>
      <c r="N18" s="66"/>
      <c r="O18" s="66"/>
      <c r="P18" s="21" t="s">
        <v>48</v>
      </c>
      <c r="Q18" s="21" t="s">
        <v>124</v>
      </c>
      <c r="R18" s="21">
        <v>98</v>
      </c>
      <c r="S18" s="21">
        <v>54</v>
      </c>
      <c r="T18" s="21">
        <v>95.3</v>
      </c>
      <c r="U18" s="22">
        <f>97.34</f>
        <v>97.34</v>
      </c>
    </row>
    <row r="19" spans="1:22" ht="99.75" customHeight="1" x14ac:dyDescent="0.2">
      <c r="A19" s="16"/>
      <c r="B19" s="20" t="s">
        <v>49</v>
      </c>
      <c r="C19" s="65" t="s">
        <v>49</v>
      </c>
      <c r="D19" s="65"/>
      <c r="E19" s="65"/>
      <c r="F19" s="65"/>
      <c r="G19" s="65"/>
      <c r="H19" s="65"/>
      <c r="I19" s="66" t="s">
        <v>435</v>
      </c>
      <c r="J19" s="66"/>
      <c r="K19" s="66"/>
      <c r="L19" s="66" t="s">
        <v>436</v>
      </c>
      <c r="M19" s="66"/>
      <c r="N19" s="66"/>
      <c r="O19" s="66"/>
      <c r="P19" s="21" t="s">
        <v>48</v>
      </c>
      <c r="Q19" s="21" t="s">
        <v>124</v>
      </c>
      <c r="R19" s="21">
        <v>78</v>
      </c>
      <c r="S19" s="21">
        <v>78</v>
      </c>
      <c r="T19" s="21">
        <v>90.46</v>
      </c>
      <c r="U19" s="22">
        <f>115.97</f>
        <v>115.97</v>
      </c>
    </row>
    <row r="20" spans="1:22" ht="99.75" customHeight="1" x14ac:dyDescent="0.2">
      <c r="A20" s="16"/>
      <c r="B20" s="20" t="s">
        <v>49</v>
      </c>
      <c r="C20" s="65" t="s">
        <v>49</v>
      </c>
      <c r="D20" s="65"/>
      <c r="E20" s="65"/>
      <c r="F20" s="65"/>
      <c r="G20" s="65"/>
      <c r="H20" s="65"/>
      <c r="I20" s="66" t="s">
        <v>437</v>
      </c>
      <c r="J20" s="66"/>
      <c r="K20" s="66"/>
      <c r="L20" s="66" t="s">
        <v>438</v>
      </c>
      <c r="M20" s="66"/>
      <c r="N20" s="66"/>
      <c r="O20" s="66"/>
      <c r="P20" s="21" t="s">
        <v>48</v>
      </c>
      <c r="Q20" s="21" t="s">
        <v>124</v>
      </c>
      <c r="R20" s="21">
        <v>18</v>
      </c>
      <c r="S20" s="21">
        <v>18</v>
      </c>
      <c r="T20" s="21">
        <v>11.84</v>
      </c>
      <c r="U20" s="22">
        <f>65.81</f>
        <v>65.81</v>
      </c>
    </row>
    <row r="21" spans="1:22" ht="99.75" customHeight="1" thickBot="1" x14ac:dyDescent="0.25">
      <c r="A21" s="16"/>
      <c r="B21" s="20" t="s">
        <v>49</v>
      </c>
      <c r="C21" s="65" t="s">
        <v>49</v>
      </c>
      <c r="D21" s="65"/>
      <c r="E21" s="65"/>
      <c r="F21" s="65"/>
      <c r="G21" s="65"/>
      <c r="H21" s="65"/>
      <c r="I21" s="66" t="s">
        <v>439</v>
      </c>
      <c r="J21" s="66"/>
      <c r="K21" s="66"/>
      <c r="L21" s="66" t="s">
        <v>440</v>
      </c>
      <c r="M21" s="66"/>
      <c r="N21" s="66"/>
      <c r="O21" s="66"/>
      <c r="P21" s="21" t="s">
        <v>48</v>
      </c>
      <c r="Q21" s="21" t="s">
        <v>124</v>
      </c>
      <c r="R21" s="21">
        <v>4</v>
      </c>
      <c r="S21" s="21">
        <v>4</v>
      </c>
      <c r="T21" s="21">
        <v>1.53</v>
      </c>
      <c r="U21" s="22">
        <f>38.46</f>
        <v>38.46</v>
      </c>
    </row>
    <row r="22" spans="1:22" ht="99.75" customHeight="1" thickTop="1" x14ac:dyDescent="0.2">
      <c r="A22" s="16"/>
      <c r="B22" s="17" t="s">
        <v>44</v>
      </c>
      <c r="C22" s="74" t="s">
        <v>441</v>
      </c>
      <c r="D22" s="74"/>
      <c r="E22" s="74"/>
      <c r="F22" s="74"/>
      <c r="G22" s="74"/>
      <c r="H22" s="74"/>
      <c r="I22" s="75" t="s">
        <v>442</v>
      </c>
      <c r="J22" s="75"/>
      <c r="K22" s="75"/>
      <c r="L22" s="75" t="s">
        <v>443</v>
      </c>
      <c r="M22" s="75"/>
      <c r="N22" s="75"/>
      <c r="O22" s="75"/>
      <c r="P22" s="18" t="s">
        <v>61</v>
      </c>
      <c r="Q22" s="18" t="s">
        <v>95</v>
      </c>
      <c r="R22" s="41">
        <v>290</v>
      </c>
      <c r="S22" s="41">
        <v>290.52999999999997</v>
      </c>
      <c r="T22" s="41">
        <v>287.70999999999998</v>
      </c>
      <c r="U22" s="51">
        <f>99.03</f>
        <v>99.03</v>
      </c>
    </row>
    <row r="23" spans="1:22" ht="99.75" customHeight="1" x14ac:dyDescent="0.2">
      <c r="A23" s="16"/>
      <c r="B23" s="20" t="s">
        <v>49</v>
      </c>
      <c r="C23" s="65" t="s">
        <v>444</v>
      </c>
      <c r="D23" s="65"/>
      <c r="E23" s="65"/>
      <c r="F23" s="65"/>
      <c r="G23" s="65"/>
      <c r="H23" s="65"/>
      <c r="I23" s="66" t="s">
        <v>445</v>
      </c>
      <c r="J23" s="66"/>
      <c r="K23" s="66"/>
      <c r="L23" s="66" t="s">
        <v>446</v>
      </c>
      <c r="M23" s="66"/>
      <c r="N23" s="66"/>
      <c r="O23" s="66"/>
      <c r="P23" s="21" t="s">
        <v>48</v>
      </c>
      <c r="Q23" s="21" t="s">
        <v>91</v>
      </c>
      <c r="R23" s="21">
        <v>68</v>
      </c>
      <c r="S23" s="21">
        <v>67</v>
      </c>
      <c r="T23" s="21">
        <v>51.9</v>
      </c>
      <c r="U23" s="22">
        <f>77.46</f>
        <v>77.459999999999994</v>
      </c>
    </row>
    <row r="24" spans="1:22" ht="99.75" customHeight="1" x14ac:dyDescent="0.2">
      <c r="A24" s="16"/>
      <c r="B24" s="20" t="s">
        <v>49</v>
      </c>
      <c r="C24" s="65" t="s">
        <v>447</v>
      </c>
      <c r="D24" s="65"/>
      <c r="E24" s="65"/>
      <c r="F24" s="65"/>
      <c r="G24" s="65"/>
      <c r="H24" s="65"/>
      <c r="I24" s="66" t="s">
        <v>448</v>
      </c>
      <c r="J24" s="66"/>
      <c r="K24" s="66"/>
      <c r="L24" s="66" t="s">
        <v>449</v>
      </c>
      <c r="M24" s="66"/>
      <c r="N24" s="66"/>
      <c r="O24" s="66"/>
      <c r="P24" s="21" t="s">
        <v>48</v>
      </c>
      <c r="Q24" s="21" t="s">
        <v>91</v>
      </c>
      <c r="R24" s="21">
        <v>97</v>
      </c>
      <c r="S24" s="21">
        <v>98</v>
      </c>
      <c r="T24" s="21">
        <v>97.8</v>
      </c>
      <c r="U24" s="22">
        <f>99.79</f>
        <v>99.79</v>
      </c>
    </row>
    <row r="25" spans="1:22" ht="99.75" customHeight="1" x14ac:dyDescent="0.2">
      <c r="A25" s="16"/>
      <c r="B25" s="20" t="s">
        <v>49</v>
      </c>
      <c r="C25" s="65" t="s">
        <v>450</v>
      </c>
      <c r="D25" s="65"/>
      <c r="E25" s="65"/>
      <c r="F25" s="65"/>
      <c r="G25" s="65"/>
      <c r="H25" s="65"/>
      <c r="I25" s="66" t="s">
        <v>451</v>
      </c>
      <c r="J25" s="66"/>
      <c r="K25" s="66"/>
      <c r="L25" s="66" t="s">
        <v>452</v>
      </c>
      <c r="M25" s="66"/>
      <c r="N25" s="66"/>
      <c r="O25" s="66"/>
      <c r="P25" s="21" t="s">
        <v>48</v>
      </c>
      <c r="Q25" s="21" t="s">
        <v>91</v>
      </c>
      <c r="R25" s="21">
        <v>95</v>
      </c>
      <c r="S25" s="21">
        <v>92</v>
      </c>
      <c r="T25" s="21">
        <v>95.8</v>
      </c>
      <c r="U25" s="22">
        <f>104.13</f>
        <v>104.13</v>
      </c>
    </row>
    <row r="26" spans="1:22" ht="99.75" customHeight="1" x14ac:dyDescent="0.2">
      <c r="A26" s="16"/>
      <c r="B26" s="20" t="s">
        <v>49</v>
      </c>
      <c r="C26" s="65" t="s">
        <v>453</v>
      </c>
      <c r="D26" s="65"/>
      <c r="E26" s="65"/>
      <c r="F26" s="65"/>
      <c r="G26" s="65"/>
      <c r="H26" s="65"/>
      <c r="I26" s="66" t="s">
        <v>454</v>
      </c>
      <c r="J26" s="66"/>
      <c r="K26" s="66"/>
      <c r="L26" s="66" t="s">
        <v>455</v>
      </c>
      <c r="M26" s="66"/>
      <c r="N26" s="66"/>
      <c r="O26" s="66"/>
      <c r="P26" s="21" t="s">
        <v>48</v>
      </c>
      <c r="Q26" s="21" t="s">
        <v>91</v>
      </c>
      <c r="R26" s="21">
        <v>62</v>
      </c>
      <c r="S26" s="21">
        <v>67</v>
      </c>
      <c r="T26" s="21">
        <v>56.3</v>
      </c>
      <c r="U26" s="22">
        <f>84.02</f>
        <v>84.02</v>
      </c>
    </row>
    <row r="27" spans="1:22" ht="99.75" customHeight="1" x14ac:dyDescent="0.2">
      <c r="A27" s="16"/>
      <c r="B27" s="20" t="s">
        <v>49</v>
      </c>
      <c r="C27" s="65" t="s">
        <v>456</v>
      </c>
      <c r="D27" s="65"/>
      <c r="E27" s="65"/>
      <c r="F27" s="65"/>
      <c r="G27" s="65"/>
      <c r="H27" s="65"/>
      <c r="I27" s="66" t="s">
        <v>457</v>
      </c>
      <c r="J27" s="66"/>
      <c r="K27" s="66"/>
      <c r="L27" s="66" t="s">
        <v>458</v>
      </c>
      <c r="M27" s="66"/>
      <c r="N27" s="66"/>
      <c r="O27" s="66"/>
      <c r="P27" s="21" t="s">
        <v>48</v>
      </c>
      <c r="Q27" s="21" t="s">
        <v>91</v>
      </c>
      <c r="R27" s="21">
        <v>87</v>
      </c>
      <c r="S27" s="21">
        <v>90</v>
      </c>
      <c r="T27" s="21">
        <v>87.1</v>
      </c>
      <c r="U27" s="22">
        <f>96.77</f>
        <v>96.77</v>
      </c>
    </row>
    <row r="28" spans="1:22" ht="99.75" customHeight="1" thickBot="1" x14ac:dyDescent="0.25">
      <c r="A28" s="16"/>
      <c r="B28" s="20" t="s">
        <v>49</v>
      </c>
      <c r="C28" s="65" t="s">
        <v>459</v>
      </c>
      <c r="D28" s="65"/>
      <c r="E28" s="65"/>
      <c r="F28" s="65"/>
      <c r="G28" s="65"/>
      <c r="H28" s="65"/>
      <c r="I28" s="66" t="s">
        <v>460</v>
      </c>
      <c r="J28" s="66"/>
      <c r="K28" s="66"/>
      <c r="L28" s="66" t="s">
        <v>461</v>
      </c>
      <c r="M28" s="66"/>
      <c r="N28" s="66"/>
      <c r="O28" s="66"/>
      <c r="P28" s="21" t="s">
        <v>462</v>
      </c>
      <c r="Q28" s="21" t="s">
        <v>95</v>
      </c>
      <c r="R28" s="40" t="s">
        <v>80</v>
      </c>
      <c r="S28" s="40">
        <v>4</v>
      </c>
      <c r="T28" s="40">
        <v>6</v>
      </c>
      <c r="U28" s="22">
        <f>150</f>
        <v>150</v>
      </c>
    </row>
    <row r="29" spans="1:22" ht="14.25" customHeight="1" thickTop="1" thickBot="1" x14ac:dyDescent="0.25">
      <c r="B29" s="4" t="s">
        <v>58</v>
      </c>
      <c r="C29" s="5"/>
      <c r="D29" s="5"/>
      <c r="E29" s="5"/>
      <c r="F29" s="5"/>
      <c r="G29" s="5"/>
      <c r="H29" s="6"/>
      <c r="I29" s="6"/>
      <c r="J29" s="6"/>
      <c r="K29" s="6"/>
      <c r="L29" s="6"/>
      <c r="M29" s="6"/>
      <c r="N29" s="6"/>
      <c r="O29" s="6"/>
      <c r="P29" s="6"/>
      <c r="Q29" s="6"/>
      <c r="R29" s="6"/>
      <c r="S29" s="6"/>
      <c r="T29" s="6"/>
      <c r="U29" s="7"/>
      <c r="V29" s="23"/>
    </row>
    <row r="30" spans="1:22" ht="26.25" customHeight="1" thickTop="1" x14ac:dyDescent="0.2">
      <c r="B30" s="24"/>
      <c r="C30" s="25"/>
      <c r="D30" s="25"/>
      <c r="E30" s="25"/>
      <c r="F30" s="25"/>
      <c r="G30" s="25"/>
      <c r="H30" s="26"/>
      <c r="I30" s="26"/>
      <c r="J30" s="26"/>
      <c r="K30" s="26"/>
      <c r="L30" s="26"/>
      <c r="M30" s="26"/>
      <c r="N30" s="26"/>
      <c r="O30" s="26"/>
      <c r="P30" s="26"/>
      <c r="Q30" s="26"/>
      <c r="R30" s="27"/>
      <c r="S30" s="28" t="s">
        <v>33</v>
      </c>
      <c r="T30" s="28" t="s">
        <v>59</v>
      </c>
      <c r="U30" s="13" t="s">
        <v>60</v>
      </c>
    </row>
    <row r="31" spans="1:22" ht="26.25" customHeight="1" thickBot="1" x14ac:dyDescent="0.25">
      <c r="B31" s="29"/>
      <c r="C31" s="30"/>
      <c r="D31" s="30"/>
      <c r="E31" s="30"/>
      <c r="F31" s="30"/>
      <c r="G31" s="30"/>
      <c r="H31" s="31"/>
      <c r="I31" s="31"/>
      <c r="J31" s="31"/>
      <c r="K31" s="31"/>
      <c r="L31" s="31"/>
      <c r="M31" s="31"/>
      <c r="N31" s="31"/>
      <c r="O31" s="31"/>
      <c r="P31" s="31"/>
      <c r="Q31" s="31"/>
      <c r="R31" s="31"/>
      <c r="S31" s="32" t="s">
        <v>61</v>
      </c>
      <c r="T31" s="33" t="s">
        <v>61</v>
      </c>
      <c r="U31" s="33" t="s">
        <v>62</v>
      </c>
    </row>
    <row r="32" spans="1:22" ht="13.5" customHeight="1" thickBot="1" x14ac:dyDescent="0.25">
      <c r="B32" s="67" t="s">
        <v>63</v>
      </c>
      <c r="C32" s="68"/>
      <c r="D32" s="68"/>
      <c r="E32" s="34"/>
      <c r="F32" s="34"/>
      <c r="G32" s="34"/>
      <c r="H32" s="35"/>
      <c r="I32" s="35"/>
      <c r="J32" s="35"/>
      <c r="K32" s="35"/>
      <c r="L32" s="35"/>
      <c r="M32" s="35"/>
      <c r="N32" s="35"/>
      <c r="O32" s="35"/>
      <c r="P32" s="36"/>
      <c r="Q32" s="36"/>
      <c r="R32" s="36"/>
      <c r="S32" s="53">
        <v>310.58087899999998</v>
      </c>
      <c r="T32" s="53">
        <v>302.98443019000007</v>
      </c>
      <c r="U32" s="54">
        <f>+IF(ISERR(T32/S32*100),"N/A",ROUND(T32/S32*100,1))</f>
        <v>97.6</v>
      </c>
    </row>
    <row r="33" spans="2:21" ht="13.5" customHeight="1" thickBot="1" x14ac:dyDescent="0.25">
      <c r="B33" s="69" t="s">
        <v>64</v>
      </c>
      <c r="C33" s="70"/>
      <c r="D33" s="70"/>
      <c r="E33" s="37"/>
      <c r="F33" s="37"/>
      <c r="G33" s="37"/>
      <c r="H33" s="38"/>
      <c r="I33" s="38"/>
      <c r="J33" s="38"/>
      <c r="K33" s="38"/>
      <c r="L33" s="38"/>
      <c r="M33" s="38"/>
      <c r="N33" s="38"/>
      <c r="O33" s="38"/>
      <c r="P33" s="39"/>
      <c r="Q33" s="39"/>
      <c r="R33" s="39"/>
      <c r="S33" s="53">
        <v>305.05055715000003</v>
      </c>
      <c r="T33" s="53">
        <v>302.98443019000007</v>
      </c>
      <c r="U33" s="54">
        <f>+IF(ISERR(T33/S33*100),"N/A",ROUND(T33/S33*100,1))</f>
        <v>99.3</v>
      </c>
    </row>
    <row r="34" spans="2:21" ht="14.85" customHeight="1" thickTop="1" thickBot="1" x14ac:dyDescent="0.25">
      <c r="B34" s="4" t="s">
        <v>65</v>
      </c>
      <c r="C34" s="5"/>
      <c r="D34" s="5"/>
      <c r="E34" s="5"/>
      <c r="F34" s="5"/>
      <c r="G34" s="5"/>
      <c r="H34" s="6"/>
      <c r="I34" s="6"/>
      <c r="J34" s="6"/>
      <c r="K34" s="6"/>
      <c r="L34" s="6"/>
      <c r="M34" s="6"/>
      <c r="N34" s="6"/>
      <c r="O34" s="6"/>
      <c r="P34" s="6"/>
      <c r="Q34" s="6"/>
      <c r="R34" s="6"/>
      <c r="S34" s="6"/>
      <c r="T34" s="6"/>
      <c r="U34" s="7"/>
    </row>
    <row r="35" spans="2:21" ht="44.25" customHeight="1" thickTop="1" x14ac:dyDescent="0.2">
      <c r="B35" s="71" t="s">
        <v>66</v>
      </c>
      <c r="C35" s="72"/>
      <c r="D35" s="72"/>
      <c r="E35" s="72"/>
      <c r="F35" s="72"/>
      <c r="G35" s="72"/>
      <c r="H35" s="72"/>
      <c r="I35" s="72"/>
      <c r="J35" s="72"/>
      <c r="K35" s="72"/>
      <c r="L35" s="72"/>
      <c r="M35" s="72"/>
      <c r="N35" s="72"/>
      <c r="O35" s="72"/>
      <c r="P35" s="72"/>
      <c r="Q35" s="72"/>
      <c r="R35" s="72"/>
      <c r="S35" s="72"/>
      <c r="T35" s="72"/>
      <c r="U35" s="73"/>
    </row>
    <row r="36" spans="2:21" ht="120.75" customHeight="1" x14ac:dyDescent="0.2">
      <c r="B36" s="59" t="s">
        <v>463</v>
      </c>
      <c r="C36" s="60"/>
      <c r="D36" s="60"/>
      <c r="E36" s="60"/>
      <c r="F36" s="60"/>
      <c r="G36" s="60"/>
      <c r="H36" s="60"/>
      <c r="I36" s="60"/>
      <c r="J36" s="60"/>
      <c r="K36" s="60"/>
      <c r="L36" s="60"/>
      <c r="M36" s="60"/>
      <c r="N36" s="60"/>
      <c r="O36" s="60"/>
      <c r="P36" s="60"/>
      <c r="Q36" s="60"/>
      <c r="R36" s="60"/>
      <c r="S36" s="60"/>
      <c r="T36" s="60"/>
      <c r="U36" s="61"/>
    </row>
    <row r="37" spans="2:21" ht="78.75" customHeight="1" x14ac:dyDescent="0.2">
      <c r="B37" s="59" t="s">
        <v>464</v>
      </c>
      <c r="C37" s="60"/>
      <c r="D37" s="60"/>
      <c r="E37" s="60"/>
      <c r="F37" s="60"/>
      <c r="G37" s="60"/>
      <c r="H37" s="60"/>
      <c r="I37" s="60"/>
      <c r="J37" s="60"/>
      <c r="K37" s="60"/>
      <c r="L37" s="60"/>
      <c r="M37" s="60"/>
      <c r="N37" s="60"/>
      <c r="O37" s="60"/>
      <c r="P37" s="60"/>
      <c r="Q37" s="60"/>
      <c r="R37" s="60"/>
      <c r="S37" s="60"/>
      <c r="T37" s="60"/>
      <c r="U37" s="61"/>
    </row>
    <row r="38" spans="2:21" ht="120.75" customHeight="1" x14ac:dyDescent="0.2">
      <c r="B38" s="59" t="s">
        <v>465</v>
      </c>
      <c r="C38" s="60"/>
      <c r="D38" s="60"/>
      <c r="E38" s="60"/>
      <c r="F38" s="60"/>
      <c r="G38" s="60"/>
      <c r="H38" s="60"/>
      <c r="I38" s="60"/>
      <c r="J38" s="60"/>
      <c r="K38" s="60"/>
      <c r="L38" s="60"/>
      <c r="M38" s="60"/>
      <c r="N38" s="60"/>
      <c r="O38" s="60"/>
      <c r="P38" s="60"/>
      <c r="Q38" s="60"/>
      <c r="R38" s="60"/>
      <c r="S38" s="60"/>
      <c r="T38" s="60"/>
      <c r="U38" s="61"/>
    </row>
    <row r="39" spans="2:21" ht="76.5" customHeight="1" x14ac:dyDescent="0.2">
      <c r="B39" s="59" t="s">
        <v>466</v>
      </c>
      <c r="C39" s="60"/>
      <c r="D39" s="60"/>
      <c r="E39" s="60"/>
      <c r="F39" s="60"/>
      <c r="G39" s="60"/>
      <c r="H39" s="60"/>
      <c r="I39" s="60"/>
      <c r="J39" s="60"/>
      <c r="K39" s="60"/>
      <c r="L39" s="60"/>
      <c r="M39" s="60"/>
      <c r="N39" s="60"/>
      <c r="O39" s="60"/>
      <c r="P39" s="60"/>
      <c r="Q39" s="60"/>
      <c r="R39" s="60"/>
      <c r="S39" s="60"/>
      <c r="T39" s="60"/>
      <c r="U39" s="61"/>
    </row>
    <row r="40" spans="2:21" ht="57" customHeight="1" x14ac:dyDescent="0.2">
      <c r="B40" s="59" t="s">
        <v>467</v>
      </c>
      <c r="C40" s="60"/>
      <c r="D40" s="60"/>
      <c r="E40" s="60"/>
      <c r="F40" s="60"/>
      <c r="G40" s="60"/>
      <c r="H40" s="60"/>
      <c r="I40" s="60"/>
      <c r="J40" s="60"/>
      <c r="K40" s="60"/>
      <c r="L40" s="60"/>
      <c r="M40" s="60"/>
      <c r="N40" s="60"/>
      <c r="O40" s="60"/>
      <c r="P40" s="60"/>
      <c r="Q40" s="60"/>
      <c r="R40" s="60"/>
      <c r="S40" s="60"/>
      <c r="T40" s="60"/>
      <c r="U40" s="61"/>
    </row>
    <row r="41" spans="2:21" ht="120.75" customHeight="1" x14ac:dyDescent="0.2">
      <c r="B41" s="59" t="s">
        <v>468</v>
      </c>
      <c r="C41" s="60"/>
      <c r="D41" s="60"/>
      <c r="E41" s="60"/>
      <c r="F41" s="60"/>
      <c r="G41" s="60"/>
      <c r="H41" s="60"/>
      <c r="I41" s="60"/>
      <c r="J41" s="60"/>
      <c r="K41" s="60"/>
      <c r="L41" s="60"/>
      <c r="M41" s="60"/>
      <c r="N41" s="60"/>
      <c r="O41" s="60"/>
      <c r="P41" s="60"/>
      <c r="Q41" s="60"/>
      <c r="R41" s="60"/>
      <c r="S41" s="60"/>
      <c r="T41" s="60"/>
      <c r="U41" s="61"/>
    </row>
    <row r="42" spans="2:21" ht="159" customHeight="1" x14ac:dyDescent="0.2">
      <c r="B42" s="59" t="s">
        <v>469</v>
      </c>
      <c r="C42" s="60"/>
      <c r="D42" s="60"/>
      <c r="E42" s="60"/>
      <c r="F42" s="60"/>
      <c r="G42" s="60"/>
      <c r="H42" s="60"/>
      <c r="I42" s="60"/>
      <c r="J42" s="60"/>
      <c r="K42" s="60"/>
      <c r="L42" s="60"/>
      <c r="M42" s="60"/>
      <c r="N42" s="60"/>
      <c r="O42" s="60"/>
      <c r="P42" s="60"/>
      <c r="Q42" s="60"/>
      <c r="R42" s="60"/>
      <c r="S42" s="60"/>
      <c r="T42" s="60"/>
      <c r="U42" s="61"/>
    </row>
    <row r="43" spans="2:21" ht="65.25" customHeight="1" x14ac:dyDescent="0.2">
      <c r="B43" s="59" t="s">
        <v>470</v>
      </c>
      <c r="C43" s="60"/>
      <c r="D43" s="60"/>
      <c r="E43" s="60"/>
      <c r="F43" s="60"/>
      <c r="G43" s="60"/>
      <c r="H43" s="60"/>
      <c r="I43" s="60"/>
      <c r="J43" s="60"/>
      <c r="K43" s="60"/>
      <c r="L43" s="60"/>
      <c r="M43" s="60"/>
      <c r="N43" s="60"/>
      <c r="O43" s="60"/>
      <c r="P43" s="60"/>
      <c r="Q43" s="60"/>
      <c r="R43" s="60"/>
      <c r="S43" s="60"/>
      <c r="T43" s="60"/>
      <c r="U43" s="61"/>
    </row>
    <row r="44" spans="2:21" ht="66" customHeight="1" x14ac:dyDescent="0.2">
      <c r="B44" s="59" t="s">
        <v>471</v>
      </c>
      <c r="C44" s="60"/>
      <c r="D44" s="60"/>
      <c r="E44" s="60"/>
      <c r="F44" s="60"/>
      <c r="G44" s="60"/>
      <c r="H44" s="60"/>
      <c r="I44" s="60"/>
      <c r="J44" s="60"/>
      <c r="K44" s="60"/>
      <c r="L44" s="60"/>
      <c r="M44" s="60"/>
      <c r="N44" s="60"/>
      <c r="O44" s="60"/>
      <c r="P44" s="60"/>
      <c r="Q44" s="60"/>
      <c r="R44" s="60"/>
      <c r="S44" s="60"/>
      <c r="T44" s="60"/>
      <c r="U44" s="61"/>
    </row>
    <row r="45" spans="2:21" ht="120.75" customHeight="1" x14ac:dyDescent="0.2">
      <c r="B45" s="59" t="s">
        <v>472</v>
      </c>
      <c r="C45" s="60"/>
      <c r="D45" s="60"/>
      <c r="E45" s="60"/>
      <c r="F45" s="60"/>
      <c r="G45" s="60"/>
      <c r="H45" s="60"/>
      <c r="I45" s="60"/>
      <c r="J45" s="60"/>
      <c r="K45" s="60"/>
      <c r="L45" s="60"/>
      <c r="M45" s="60"/>
      <c r="N45" s="60"/>
      <c r="O45" s="60"/>
      <c r="P45" s="60"/>
      <c r="Q45" s="60"/>
      <c r="R45" s="60"/>
      <c r="S45" s="60"/>
      <c r="T45" s="60"/>
      <c r="U45" s="61"/>
    </row>
    <row r="46" spans="2:21" ht="90.75" customHeight="1" x14ac:dyDescent="0.2">
      <c r="B46" s="59" t="s">
        <v>473</v>
      </c>
      <c r="C46" s="60"/>
      <c r="D46" s="60"/>
      <c r="E46" s="60"/>
      <c r="F46" s="60"/>
      <c r="G46" s="60"/>
      <c r="H46" s="60"/>
      <c r="I46" s="60"/>
      <c r="J46" s="60"/>
      <c r="K46" s="60"/>
      <c r="L46" s="60"/>
      <c r="M46" s="60"/>
      <c r="N46" s="60"/>
      <c r="O46" s="60"/>
      <c r="P46" s="60"/>
      <c r="Q46" s="60"/>
      <c r="R46" s="60"/>
      <c r="S46" s="60"/>
      <c r="T46" s="60"/>
      <c r="U46" s="61"/>
    </row>
    <row r="47" spans="2:21" ht="90.75" customHeight="1" x14ac:dyDescent="0.2">
      <c r="B47" s="59" t="s">
        <v>474</v>
      </c>
      <c r="C47" s="60"/>
      <c r="D47" s="60"/>
      <c r="E47" s="60"/>
      <c r="F47" s="60"/>
      <c r="G47" s="60"/>
      <c r="H47" s="60"/>
      <c r="I47" s="60"/>
      <c r="J47" s="60"/>
      <c r="K47" s="60"/>
      <c r="L47" s="60"/>
      <c r="M47" s="60"/>
      <c r="N47" s="60"/>
      <c r="O47" s="60"/>
      <c r="P47" s="60"/>
      <c r="Q47" s="60"/>
      <c r="R47" s="60"/>
      <c r="S47" s="60"/>
      <c r="T47" s="60"/>
      <c r="U47" s="61"/>
    </row>
    <row r="48" spans="2:21" ht="90.75" customHeight="1" x14ac:dyDescent="0.2">
      <c r="B48" s="59" t="s">
        <v>475</v>
      </c>
      <c r="C48" s="60"/>
      <c r="D48" s="60"/>
      <c r="E48" s="60"/>
      <c r="F48" s="60"/>
      <c r="G48" s="60"/>
      <c r="H48" s="60"/>
      <c r="I48" s="60"/>
      <c r="J48" s="60"/>
      <c r="K48" s="60"/>
      <c r="L48" s="60"/>
      <c r="M48" s="60"/>
      <c r="N48" s="60"/>
      <c r="O48" s="60"/>
      <c r="P48" s="60"/>
      <c r="Q48" s="60"/>
      <c r="R48" s="60"/>
      <c r="S48" s="60"/>
      <c r="T48" s="60"/>
      <c r="U48" s="61"/>
    </row>
    <row r="49" spans="2:21" ht="86.25" customHeight="1" x14ac:dyDescent="0.2">
      <c r="B49" s="59" t="s">
        <v>476</v>
      </c>
      <c r="C49" s="60"/>
      <c r="D49" s="60"/>
      <c r="E49" s="60"/>
      <c r="F49" s="60"/>
      <c r="G49" s="60"/>
      <c r="H49" s="60"/>
      <c r="I49" s="60"/>
      <c r="J49" s="60"/>
      <c r="K49" s="60"/>
      <c r="L49" s="60"/>
      <c r="M49" s="60"/>
      <c r="N49" s="60"/>
      <c r="O49" s="60"/>
      <c r="P49" s="60"/>
      <c r="Q49" s="60"/>
      <c r="R49" s="60"/>
      <c r="S49" s="60"/>
      <c r="T49" s="60"/>
      <c r="U49" s="61"/>
    </row>
    <row r="50" spans="2:21" ht="86.25" customHeight="1" x14ac:dyDescent="0.2">
      <c r="B50" s="59" t="s">
        <v>477</v>
      </c>
      <c r="C50" s="60"/>
      <c r="D50" s="60"/>
      <c r="E50" s="60"/>
      <c r="F50" s="60"/>
      <c r="G50" s="60"/>
      <c r="H50" s="60"/>
      <c r="I50" s="60"/>
      <c r="J50" s="60"/>
      <c r="K50" s="60"/>
      <c r="L50" s="60"/>
      <c r="M50" s="60"/>
      <c r="N50" s="60"/>
      <c r="O50" s="60"/>
      <c r="P50" s="60"/>
      <c r="Q50" s="60"/>
      <c r="R50" s="60"/>
      <c r="S50" s="60"/>
      <c r="T50" s="60"/>
      <c r="U50" s="61"/>
    </row>
    <row r="51" spans="2:21" ht="86.25" customHeight="1" thickBot="1" x14ac:dyDescent="0.25">
      <c r="B51" s="62" t="s">
        <v>478</v>
      </c>
      <c r="C51" s="63"/>
      <c r="D51" s="63"/>
      <c r="E51" s="63"/>
      <c r="F51" s="63"/>
      <c r="G51" s="63"/>
      <c r="H51" s="63"/>
      <c r="I51" s="63"/>
      <c r="J51" s="63"/>
      <c r="K51" s="63"/>
      <c r="L51" s="63"/>
      <c r="M51" s="63"/>
      <c r="N51" s="63"/>
      <c r="O51" s="63"/>
      <c r="P51" s="63"/>
      <c r="Q51" s="63"/>
      <c r="R51" s="63"/>
      <c r="S51" s="63"/>
      <c r="T51" s="63"/>
      <c r="U51" s="64"/>
    </row>
  </sheetData>
  <mergeCells count="94">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C18:H18"/>
    <mergeCell ref="I18:K18"/>
    <mergeCell ref="L18:O18"/>
    <mergeCell ref="C19:H19"/>
    <mergeCell ref="I19:K19"/>
    <mergeCell ref="L19:O19"/>
    <mergeCell ref="C20:H20"/>
    <mergeCell ref="I20:K20"/>
    <mergeCell ref="L20:O20"/>
    <mergeCell ref="C21:H21"/>
    <mergeCell ref="I21:K21"/>
    <mergeCell ref="L21:O21"/>
    <mergeCell ref="C22:H22"/>
    <mergeCell ref="I22:K22"/>
    <mergeCell ref="L22:O22"/>
    <mergeCell ref="C23:H23"/>
    <mergeCell ref="I23:K23"/>
    <mergeCell ref="L23:O23"/>
    <mergeCell ref="C24:H24"/>
    <mergeCell ref="I24:K24"/>
    <mergeCell ref="L24:O24"/>
    <mergeCell ref="C25:H25"/>
    <mergeCell ref="I25:K25"/>
    <mergeCell ref="L25:O25"/>
    <mergeCell ref="C26:H26"/>
    <mergeCell ref="I26:K26"/>
    <mergeCell ref="L26:O26"/>
    <mergeCell ref="C27:H27"/>
    <mergeCell ref="I27:K27"/>
    <mergeCell ref="L27:O27"/>
    <mergeCell ref="B35:U35"/>
    <mergeCell ref="B36:U36"/>
    <mergeCell ref="B37:U37"/>
    <mergeCell ref="B38:U38"/>
    <mergeCell ref="B39:U39"/>
    <mergeCell ref="C28:H28"/>
    <mergeCell ref="I28:K28"/>
    <mergeCell ref="L28:O28"/>
    <mergeCell ref="B32:D32"/>
    <mergeCell ref="B33:D33"/>
    <mergeCell ref="B51:U51"/>
    <mergeCell ref="B40:U40"/>
    <mergeCell ref="B41:U41"/>
    <mergeCell ref="B42:U42"/>
    <mergeCell ref="B43:U43"/>
    <mergeCell ref="B44:U44"/>
    <mergeCell ref="B45:U45"/>
    <mergeCell ref="B46:U46"/>
    <mergeCell ref="B47:U47"/>
    <mergeCell ref="B48:U48"/>
    <mergeCell ref="B49:U49"/>
    <mergeCell ref="B50:U50"/>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6"/>
  <sheetViews>
    <sheetView zoomScale="90" zoomScaleNormal="90" zoomScaleSheetLayoutView="80" workbookViewId="0">
      <selection activeCell="V16" sqref="V16"/>
    </sheetView>
  </sheetViews>
  <sheetFormatPr baseColWidth="10" defaultColWidth="10" defaultRowHeight="12.75" x14ac:dyDescent="0.2"/>
  <cols>
    <col min="1" max="1" width="3.5" style="1" customWidth="1"/>
    <col min="2" max="2" width="14.6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8.62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375" style="1" customWidth="1"/>
    <col min="19" max="19" width="13" style="1" customWidth="1"/>
    <col min="20" max="20" width="10.75" style="1" customWidth="1"/>
    <col min="21" max="21" width="12.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5" t="s">
        <v>0</v>
      </c>
      <c r="C1" s="55"/>
      <c r="D1" s="55"/>
      <c r="E1" s="55"/>
      <c r="F1" s="55"/>
      <c r="G1" s="55"/>
      <c r="H1" s="55"/>
      <c r="I1" s="55"/>
      <c r="J1" s="55"/>
      <c r="K1" s="55"/>
      <c r="L1" s="55"/>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42" t="s">
        <v>6</v>
      </c>
      <c r="C4" s="43" t="s">
        <v>479</v>
      </c>
      <c r="D4" s="102" t="s">
        <v>480</v>
      </c>
      <c r="E4" s="102"/>
      <c r="F4" s="102"/>
      <c r="G4" s="102"/>
      <c r="H4" s="102"/>
      <c r="I4" s="44"/>
      <c r="J4" s="45" t="s">
        <v>9</v>
      </c>
      <c r="K4" s="46" t="s">
        <v>10</v>
      </c>
      <c r="L4" s="103" t="s">
        <v>11</v>
      </c>
      <c r="M4" s="103"/>
      <c r="N4" s="103"/>
      <c r="O4" s="103"/>
      <c r="P4" s="45" t="s">
        <v>12</v>
      </c>
      <c r="Q4" s="103" t="s">
        <v>481</v>
      </c>
      <c r="R4" s="103"/>
      <c r="S4" s="45" t="s">
        <v>14</v>
      </c>
      <c r="T4" s="103"/>
      <c r="U4" s="104"/>
    </row>
    <row r="5" spans="1:21" ht="15.75" customHeight="1" x14ac:dyDescent="0.2">
      <c r="B5" s="99" t="s">
        <v>15</v>
      </c>
      <c r="C5" s="100"/>
      <c r="D5" s="100"/>
      <c r="E5" s="100"/>
      <c r="F5" s="100"/>
      <c r="G5" s="100"/>
      <c r="H5" s="100"/>
      <c r="I5" s="100"/>
      <c r="J5" s="100"/>
      <c r="K5" s="100"/>
      <c r="L5" s="100"/>
      <c r="M5" s="100"/>
      <c r="N5" s="100"/>
      <c r="O5" s="100"/>
      <c r="P5" s="100"/>
      <c r="Q5" s="100"/>
      <c r="R5" s="100"/>
      <c r="S5" s="100"/>
      <c r="T5" s="100"/>
      <c r="U5" s="101"/>
    </row>
    <row r="6" spans="1:21" ht="67.5" customHeight="1" thickBot="1" x14ac:dyDescent="0.25">
      <c r="B6" s="47" t="s">
        <v>16</v>
      </c>
      <c r="C6" s="76" t="s">
        <v>17</v>
      </c>
      <c r="D6" s="76"/>
      <c r="E6" s="76"/>
      <c r="F6" s="76"/>
      <c r="G6" s="76"/>
      <c r="H6" s="48"/>
      <c r="I6" s="48"/>
      <c r="J6" s="48" t="s">
        <v>18</v>
      </c>
      <c r="K6" s="76" t="s">
        <v>19</v>
      </c>
      <c r="L6" s="76"/>
      <c r="M6" s="76"/>
      <c r="N6" s="49"/>
      <c r="O6" s="48" t="s">
        <v>20</v>
      </c>
      <c r="P6" s="76" t="s">
        <v>21</v>
      </c>
      <c r="Q6" s="76"/>
      <c r="R6" s="50"/>
      <c r="S6" s="48" t="s">
        <v>22</v>
      </c>
      <c r="T6" s="76" t="s">
        <v>293</v>
      </c>
      <c r="U6" s="77"/>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8" t="s">
        <v>25</v>
      </c>
      <c r="C8" s="81" t="s">
        <v>26</v>
      </c>
      <c r="D8" s="81"/>
      <c r="E8" s="81"/>
      <c r="F8" s="81"/>
      <c r="G8" s="81"/>
      <c r="H8" s="82"/>
      <c r="I8" s="87" t="s">
        <v>27</v>
      </c>
      <c r="J8" s="88"/>
      <c r="K8" s="88"/>
      <c r="L8" s="88"/>
      <c r="M8" s="88"/>
      <c r="N8" s="88"/>
      <c r="O8" s="88"/>
      <c r="P8" s="88"/>
      <c r="Q8" s="88"/>
      <c r="R8" s="88"/>
      <c r="S8" s="89"/>
      <c r="T8" s="90" t="s">
        <v>28</v>
      </c>
      <c r="U8" s="91"/>
    </row>
    <row r="9" spans="1:21" ht="19.5" customHeight="1" x14ac:dyDescent="0.2">
      <c r="B9" s="79"/>
      <c r="C9" s="83"/>
      <c r="D9" s="83"/>
      <c r="E9" s="83"/>
      <c r="F9" s="83"/>
      <c r="G9" s="83"/>
      <c r="H9" s="84"/>
      <c r="I9" s="92" t="s">
        <v>29</v>
      </c>
      <c r="J9" s="81"/>
      <c r="K9" s="81"/>
      <c r="L9" s="81" t="s">
        <v>30</v>
      </c>
      <c r="M9" s="81"/>
      <c r="N9" s="81"/>
      <c r="O9" s="81"/>
      <c r="P9" s="81" t="s">
        <v>31</v>
      </c>
      <c r="Q9" s="81" t="s">
        <v>32</v>
      </c>
      <c r="R9" s="95" t="s">
        <v>33</v>
      </c>
      <c r="S9" s="96"/>
      <c r="T9" s="81" t="s">
        <v>34</v>
      </c>
      <c r="U9" s="97" t="s">
        <v>35</v>
      </c>
    </row>
    <row r="10" spans="1:21" ht="33.75" customHeight="1" thickBot="1" x14ac:dyDescent="0.25">
      <c r="B10" s="80"/>
      <c r="C10" s="85"/>
      <c r="D10" s="85"/>
      <c r="E10" s="85"/>
      <c r="F10" s="85"/>
      <c r="G10" s="85"/>
      <c r="H10" s="86"/>
      <c r="I10" s="93"/>
      <c r="J10" s="94"/>
      <c r="K10" s="94"/>
      <c r="L10" s="94"/>
      <c r="M10" s="94"/>
      <c r="N10" s="94"/>
      <c r="O10" s="94"/>
      <c r="P10" s="94"/>
      <c r="Q10" s="94"/>
      <c r="R10" s="14" t="s">
        <v>36</v>
      </c>
      <c r="S10" s="15" t="s">
        <v>37</v>
      </c>
      <c r="T10" s="94"/>
      <c r="U10" s="98"/>
    </row>
    <row r="11" spans="1:21" ht="135.75" customHeight="1" thickTop="1" thickBot="1" x14ac:dyDescent="0.25">
      <c r="A11" s="16"/>
      <c r="B11" s="17" t="s">
        <v>75</v>
      </c>
      <c r="C11" s="74" t="s">
        <v>482</v>
      </c>
      <c r="D11" s="74"/>
      <c r="E11" s="74"/>
      <c r="F11" s="74"/>
      <c r="G11" s="74"/>
      <c r="H11" s="74"/>
      <c r="I11" s="74" t="s">
        <v>483</v>
      </c>
      <c r="J11" s="74"/>
      <c r="K11" s="74"/>
      <c r="L11" s="74" t="s">
        <v>484</v>
      </c>
      <c r="M11" s="74"/>
      <c r="N11" s="74"/>
      <c r="O11" s="74"/>
      <c r="P11" s="18" t="s">
        <v>48</v>
      </c>
      <c r="Q11" s="18" t="s">
        <v>297</v>
      </c>
      <c r="R11" s="18" t="s">
        <v>80</v>
      </c>
      <c r="S11" s="18">
        <v>9.09</v>
      </c>
      <c r="T11" s="18" t="s">
        <v>80</v>
      </c>
      <c r="U11" s="51">
        <v>0</v>
      </c>
    </row>
    <row r="12" spans="1:21" ht="154.5" customHeight="1" thickTop="1" x14ac:dyDescent="0.2">
      <c r="A12" s="16"/>
      <c r="B12" s="17" t="s">
        <v>81</v>
      </c>
      <c r="C12" s="74" t="s">
        <v>485</v>
      </c>
      <c r="D12" s="74"/>
      <c r="E12" s="74"/>
      <c r="F12" s="74"/>
      <c r="G12" s="74"/>
      <c r="H12" s="74"/>
      <c r="I12" s="74" t="s">
        <v>486</v>
      </c>
      <c r="J12" s="74"/>
      <c r="K12" s="74"/>
      <c r="L12" s="74" t="s">
        <v>487</v>
      </c>
      <c r="M12" s="74"/>
      <c r="N12" s="74"/>
      <c r="O12" s="74"/>
      <c r="P12" s="18" t="s">
        <v>104</v>
      </c>
      <c r="Q12" s="18" t="s">
        <v>85</v>
      </c>
      <c r="R12" s="41">
        <v>367794</v>
      </c>
      <c r="S12" s="41">
        <v>360398</v>
      </c>
      <c r="T12" s="41">
        <v>378984</v>
      </c>
      <c r="U12" s="19">
        <f>105.2</f>
        <v>105.2</v>
      </c>
    </row>
    <row r="13" spans="1:21" ht="75" customHeight="1" thickBot="1" x14ac:dyDescent="0.25">
      <c r="A13" s="16"/>
      <c r="B13" s="20" t="s">
        <v>49</v>
      </c>
      <c r="C13" s="65" t="s">
        <v>49</v>
      </c>
      <c r="D13" s="65"/>
      <c r="E13" s="65"/>
      <c r="F13" s="65"/>
      <c r="G13" s="65"/>
      <c r="H13" s="65"/>
      <c r="I13" s="65" t="s">
        <v>488</v>
      </c>
      <c r="J13" s="65"/>
      <c r="K13" s="65"/>
      <c r="L13" s="65" t="s">
        <v>489</v>
      </c>
      <c r="M13" s="65"/>
      <c r="N13" s="65"/>
      <c r="O13" s="65"/>
      <c r="P13" s="21" t="s">
        <v>48</v>
      </c>
      <c r="Q13" s="21" t="s">
        <v>165</v>
      </c>
      <c r="R13" s="21" t="s">
        <v>80</v>
      </c>
      <c r="S13" s="21">
        <v>8.6199999999999992</v>
      </c>
      <c r="T13" s="21">
        <v>8.98</v>
      </c>
      <c r="U13" s="22">
        <f>104.2</f>
        <v>104.2</v>
      </c>
    </row>
    <row r="14" spans="1:21" ht="75" customHeight="1" thickTop="1" x14ac:dyDescent="0.2">
      <c r="A14" s="16"/>
      <c r="B14" s="17" t="s">
        <v>38</v>
      </c>
      <c r="C14" s="74" t="s">
        <v>490</v>
      </c>
      <c r="D14" s="74"/>
      <c r="E14" s="74"/>
      <c r="F14" s="74"/>
      <c r="G14" s="74"/>
      <c r="H14" s="74"/>
      <c r="I14" s="74" t="s">
        <v>491</v>
      </c>
      <c r="J14" s="74"/>
      <c r="K14" s="74"/>
      <c r="L14" s="74" t="s">
        <v>492</v>
      </c>
      <c r="M14" s="74"/>
      <c r="N14" s="74"/>
      <c r="O14" s="74"/>
      <c r="P14" s="18" t="s">
        <v>493</v>
      </c>
      <c r="Q14" s="18" t="s">
        <v>43</v>
      </c>
      <c r="R14" s="41">
        <v>15125743</v>
      </c>
      <c r="S14" s="41">
        <v>15592913</v>
      </c>
      <c r="T14" s="41">
        <v>14284444</v>
      </c>
      <c r="U14" s="19">
        <f>91.6</f>
        <v>91.6</v>
      </c>
    </row>
    <row r="15" spans="1:21" ht="99.75" customHeight="1" x14ac:dyDescent="0.2">
      <c r="A15" s="16"/>
      <c r="B15" s="20" t="s">
        <v>49</v>
      </c>
      <c r="C15" s="65" t="s">
        <v>49</v>
      </c>
      <c r="D15" s="65"/>
      <c r="E15" s="65"/>
      <c r="F15" s="65"/>
      <c r="G15" s="65"/>
      <c r="H15" s="65"/>
      <c r="I15" s="65" t="s">
        <v>494</v>
      </c>
      <c r="J15" s="65"/>
      <c r="K15" s="65"/>
      <c r="L15" s="65" t="s">
        <v>495</v>
      </c>
      <c r="M15" s="65"/>
      <c r="N15" s="65"/>
      <c r="O15" s="65"/>
      <c r="P15" s="21" t="s">
        <v>496</v>
      </c>
      <c r="Q15" s="21" t="s">
        <v>497</v>
      </c>
      <c r="R15" s="40" t="s">
        <v>80</v>
      </c>
      <c r="S15" s="40">
        <v>10</v>
      </c>
      <c r="T15" s="40">
        <v>10</v>
      </c>
      <c r="U15" s="22">
        <f>100</f>
        <v>100</v>
      </c>
    </row>
    <row r="16" spans="1:21" ht="99.75" customHeight="1" thickBot="1" x14ac:dyDescent="0.25">
      <c r="A16" s="16"/>
      <c r="B16" s="20" t="s">
        <v>49</v>
      </c>
      <c r="C16" s="65" t="s">
        <v>498</v>
      </c>
      <c r="D16" s="65"/>
      <c r="E16" s="65"/>
      <c r="F16" s="65"/>
      <c r="G16" s="65"/>
      <c r="H16" s="65"/>
      <c r="I16" s="65" t="s">
        <v>499</v>
      </c>
      <c r="J16" s="65"/>
      <c r="K16" s="65"/>
      <c r="L16" s="65" t="s">
        <v>500</v>
      </c>
      <c r="M16" s="65"/>
      <c r="N16" s="65"/>
      <c r="O16" s="65"/>
      <c r="P16" s="21" t="s">
        <v>255</v>
      </c>
      <c r="Q16" s="21" t="s">
        <v>43</v>
      </c>
      <c r="R16" s="40">
        <v>4493</v>
      </c>
      <c r="S16" s="40">
        <v>4151</v>
      </c>
      <c r="T16" s="40">
        <v>4031</v>
      </c>
      <c r="U16" s="22">
        <f>97.1</f>
        <v>97.1</v>
      </c>
    </row>
    <row r="17" spans="1:22" ht="137.25" customHeight="1" thickTop="1" x14ac:dyDescent="0.2">
      <c r="A17" s="16"/>
      <c r="B17" s="17" t="s">
        <v>44</v>
      </c>
      <c r="C17" s="74" t="s">
        <v>501</v>
      </c>
      <c r="D17" s="74"/>
      <c r="E17" s="74"/>
      <c r="F17" s="74"/>
      <c r="G17" s="74"/>
      <c r="H17" s="74"/>
      <c r="I17" s="74" t="s">
        <v>502</v>
      </c>
      <c r="J17" s="74"/>
      <c r="K17" s="74"/>
      <c r="L17" s="74" t="s">
        <v>503</v>
      </c>
      <c r="M17" s="74"/>
      <c r="N17" s="74"/>
      <c r="O17" s="74"/>
      <c r="P17" s="18" t="s">
        <v>493</v>
      </c>
      <c r="Q17" s="18" t="s">
        <v>43</v>
      </c>
      <c r="R17" s="18" t="s">
        <v>80</v>
      </c>
      <c r="S17" s="18">
        <v>64.95</v>
      </c>
      <c r="T17" s="18">
        <v>51.75</v>
      </c>
      <c r="U17" s="51">
        <f>79.7</f>
        <v>79.7</v>
      </c>
    </row>
    <row r="18" spans="1:22" ht="137.25" customHeight="1" x14ac:dyDescent="0.2">
      <c r="A18" s="16"/>
      <c r="B18" s="20" t="s">
        <v>49</v>
      </c>
      <c r="C18" s="65" t="s">
        <v>49</v>
      </c>
      <c r="D18" s="65"/>
      <c r="E18" s="65"/>
      <c r="F18" s="65"/>
      <c r="G18" s="65"/>
      <c r="H18" s="65"/>
      <c r="I18" s="65" t="s">
        <v>504</v>
      </c>
      <c r="J18" s="65"/>
      <c r="K18" s="65"/>
      <c r="L18" s="65" t="s">
        <v>505</v>
      </c>
      <c r="M18" s="65"/>
      <c r="N18" s="65"/>
      <c r="O18" s="65"/>
      <c r="P18" s="21" t="s">
        <v>48</v>
      </c>
      <c r="Q18" s="21" t="s">
        <v>43</v>
      </c>
      <c r="R18" s="21" t="s">
        <v>80</v>
      </c>
      <c r="S18" s="21">
        <v>38.04</v>
      </c>
      <c r="T18" s="21">
        <v>40.299999999999997</v>
      </c>
      <c r="U18" s="22">
        <f>106</f>
        <v>106</v>
      </c>
    </row>
    <row r="19" spans="1:22" ht="137.25" customHeight="1" x14ac:dyDescent="0.2">
      <c r="A19" s="16"/>
      <c r="B19" s="20" t="s">
        <v>49</v>
      </c>
      <c r="C19" s="65" t="s">
        <v>49</v>
      </c>
      <c r="D19" s="65"/>
      <c r="E19" s="65"/>
      <c r="F19" s="65"/>
      <c r="G19" s="65"/>
      <c r="H19" s="65"/>
      <c r="I19" s="65" t="s">
        <v>506</v>
      </c>
      <c r="J19" s="65"/>
      <c r="K19" s="65"/>
      <c r="L19" s="65" t="s">
        <v>507</v>
      </c>
      <c r="M19" s="65"/>
      <c r="N19" s="65"/>
      <c r="O19" s="65"/>
      <c r="P19" s="21" t="s">
        <v>48</v>
      </c>
      <c r="Q19" s="21" t="s">
        <v>133</v>
      </c>
      <c r="R19" s="21" t="s">
        <v>80</v>
      </c>
      <c r="S19" s="21">
        <v>50</v>
      </c>
      <c r="T19" s="21">
        <v>63</v>
      </c>
      <c r="U19" s="22">
        <f>126</f>
        <v>126</v>
      </c>
    </row>
    <row r="20" spans="1:22" ht="99.75" customHeight="1" thickBot="1" x14ac:dyDescent="0.25">
      <c r="A20" s="16"/>
      <c r="B20" s="20" t="s">
        <v>49</v>
      </c>
      <c r="C20" s="65" t="s">
        <v>508</v>
      </c>
      <c r="D20" s="65"/>
      <c r="E20" s="65"/>
      <c r="F20" s="65"/>
      <c r="G20" s="65"/>
      <c r="H20" s="65"/>
      <c r="I20" s="65" t="s">
        <v>509</v>
      </c>
      <c r="J20" s="65"/>
      <c r="K20" s="65"/>
      <c r="L20" s="65" t="s">
        <v>510</v>
      </c>
      <c r="M20" s="65"/>
      <c r="N20" s="65"/>
      <c r="O20" s="65"/>
      <c r="P20" s="21" t="s">
        <v>511</v>
      </c>
      <c r="Q20" s="21" t="s">
        <v>43</v>
      </c>
      <c r="R20" s="40" t="s">
        <v>80</v>
      </c>
      <c r="S20" s="40">
        <v>1612</v>
      </c>
      <c r="T20" s="40">
        <v>1042</v>
      </c>
      <c r="U20" s="22">
        <f>64.6</f>
        <v>64.599999999999994</v>
      </c>
    </row>
    <row r="21" spans="1:22" ht="14.25" customHeight="1" thickTop="1" thickBot="1" x14ac:dyDescent="0.25">
      <c r="B21" s="4" t="s">
        <v>58</v>
      </c>
      <c r="C21" s="5"/>
      <c r="D21" s="5"/>
      <c r="E21" s="5"/>
      <c r="F21" s="5"/>
      <c r="G21" s="5"/>
      <c r="H21" s="6"/>
      <c r="I21" s="6"/>
      <c r="J21" s="6"/>
      <c r="K21" s="6"/>
      <c r="L21" s="6"/>
      <c r="M21" s="6"/>
      <c r="N21" s="6"/>
      <c r="O21" s="6"/>
      <c r="P21" s="6"/>
      <c r="Q21" s="6"/>
      <c r="R21" s="6"/>
      <c r="S21" s="6"/>
      <c r="T21" s="6"/>
      <c r="U21" s="7"/>
      <c r="V21" s="23"/>
    </row>
    <row r="22" spans="1:22" ht="26.25" customHeight="1" thickTop="1" x14ac:dyDescent="0.2">
      <c r="B22" s="24"/>
      <c r="C22" s="25"/>
      <c r="D22" s="25"/>
      <c r="E22" s="25"/>
      <c r="F22" s="25"/>
      <c r="G22" s="25"/>
      <c r="H22" s="26"/>
      <c r="I22" s="26"/>
      <c r="J22" s="26"/>
      <c r="K22" s="26"/>
      <c r="L22" s="26"/>
      <c r="M22" s="26"/>
      <c r="N22" s="26"/>
      <c r="O22" s="26"/>
      <c r="P22" s="26"/>
      <c r="Q22" s="26"/>
      <c r="R22" s="27"/>
      <c r="S22" s="28" t="s">
        <v>33</v>
      </c>
      <c r="T22" s="28" t="s">
        <v>59</v>
      </c>
      <c r="U22" s="13" t="s">
        <v>60</v>
      </c>
    </row>
    <row r="23" spans="1:22" ht="38.25" customHeight="1" thickBot="1" x14ac:dyDescent="0.25">
      <c r="B23" s="29"/>
      <c r="C23" s="30"/>
      <c r="D23" s="30"/>
      <c r="E23" s="30"/>
      <c r="F23" s="30"/>
      <c r="G23" s="30"/>
      <c r="H23" s="31"/>
      <c r="I23" s="31"/>
      <c r="J23" s="31"/>
      <c r="K23" s="31"/>
      <c r="L23" s="31"/>
      <c r="M23" s="31"/>
      <c r="N23" s="31"/>
      <c r="O23" s="31"/>
      <c r="P23" s="31"/>
      <c r="Q23" s="31"/>
      <c r="R23" s="31"/>
      <c r="S23" s="32" t="s">
        <v>61</v>
      </c>
      <c r="T23" s="33" t="s">
        <v>61</v>
      </c>
      <c r="U23" s="33" t="s">
        <v>62</v>
      </c>
    </row>
    <row r="24" spans="1:22" ht="21.75" customHeight="1" thickBot="1" x14ac:dyDescent="0.25">
      <c r="B24" s="67" t="s">
        <v>63</v>
      </c>
      <c r="C24" s="68"/>
      <c r="D24" s="68"/>
      <c r="E24" s="34"/>
      <c r="F24" s="34"/>
      <c r="G24" s="34"/>
      <c r="H24" s="35"/>
      <c r="I24" s="35"/>
      <c r="J24" s="35"/>
      <c r="K24" s="35"/>
      <c r="L24" s="35"/>
      <c r="M24" s="35"/>
      <c r="N24" s="35"/>
      <c r="O24" s="35"/>
      <c r="P24" s="36"/>
      <c r="Q24" s="36"/>
      <c r="R24" s="36"/>
      <c r="S24" s="53">
        <v>1291.837716</v>
      </c>
      <c r="T24" s="53">
        <v>1028.2464254099998</v>
      </c>
      <c r="U24" s="54">
        <f>+IF(ISERR(T24/S24*100),"N/A",ROUND(T24/S24*100,1))</f>
        <v>79.599999999999994</v>
      </c>
    </row>
    <row r="25" spans="1:22" ht="21.75" customHeight="1" thickBot="1" x14ac:dyDescent="0.25">
      <c r="B25" s="69" t="s">
        <v>64</v>
      </c>
      <c r="C25" s="70"/>
      <c r="D25" s="70"/>
      <c r="E25" s="37"/>
      <c r="F25" s="37"/>
      <c r="G25" s="37"/>
      <c r="H25" s="38"/>
      <c r="I25" s="38"/>
      <c r="J25" s="38"/>
      <c r="K25" s="38"/>
      <c r="L25" s="38"/>
      <c r="M25" s="38"/>
      <c r="N25" s="38"/>
      <c r="O25" s="38"/>
      <c r="P25" s="39"/>
      <c r="Q25" s="39"/>
      <c r="R25" s="39"/>
      <c r="S25" s="53">
        <v>1028.44785028</v>
      </c>
      <c r="T25" s="53">
        <v>1028.2464254099998</v>
      </c>
      <c r="U25" s="54">
        <f>+IF(ISERR(T25/S25*100),"N/A",ROUND(T25/S25*100,1))</f>
        <v>100</v>
      </c>
    </row>
    <row r="26" spans="1:22" ht="14.85" customHeight="1" thickTop="1" thickBot="1" x14ac:dyDescent="0.25">
      <c r="B26" s="4" t="s">
        <v>65</v>
      </c>
      <c r="C26" s="5"/>
      <c r="D26" s="5"/>
      <c r="E26" s="5"/>
      <c r="F26" s="5"/>
      <c r="G26" s="5"/>
      <c r="H26" s="6"/>
      <c r="I26" s="6"/>
      <c r="J26" s="6"/>
      <c r="K26" s="6"/>
      <c r="L26" s="6"/>
      <c r="M26" s="6"/>
      <c r="N26" s="6"/>
      <c r="O26" s="6"/>
      <c r="P26" s="6"/>
      <c r="Q26" s="6"/>
      <c r="R26" s="6"/>
      <c r="S26" s="6"/>
      <c r="T26" s="6"/>
      <c r="U26" s="7"/>
    </row>
    <row r="27" spans="1:22" ht="44.25" customHeight="1" thickTop="1" x14ac:dyDescent="0.2">
      <c r="B27" s="71" t="s">
        <v>66</v>
      </c>
      <c r="C27" s="72"/>
      <c r="D27" s="72"/>
      <c r="E27" s="72"/>
      <c r="F27" s="72"/>
      <c r="G27" s="72"/>
      <c r="H27" s="72"/>
      <c r="I27" s="72"/>
      <c r="J27" s="72"/>
      <c r="K27" s="72"/>
      <c r="L27" s="72"/>
      <c r="M27" s="72"/>
      <c r="N27" s="72"/>
      <c r="O27" s="72"/>
      <c r="P27" s="72"/>
      <c r="Q27" s="72"/>
      <c r="R27" s="72"/>
      <c r="S27" s="72"/>
      <c r="T27" s="72"/>
      <c r="U27" s="73"/>
    </row>
    <row r="28" spans="1:22" ht="34.5" customHeight="1" x14ac:dyDescent="0.2">
      <c r="B28" s="59" t="s">
        <v>512</v>
      </c>
      <c r="C28" s="60"/>
      <c r="D28" s="60"/>
      <c r="E28" s="60"/>
      <c r="F28" s="60"/>
      <c r="G28" s="60"/>
      <c r="H28" s="60"/>
      <c r="I28" s="60"/>
      <c r="J28" s="60"/>
      <c r="K28" s="60"/>
      <c r="L28" s="60"/>
      <c r="M28" s="60"/>
      <c r="N28" s="60"/>
      <c r="O28" s="60"/>
      <c r="P28" s="60"/>
      <c r="Q28" s="60"/>
      <c r="R28" s="60"/>
      <c r="S28" s="60"/>
      <c r="T28" s="60"/>
      <c r="U28" s="61"/>
    </row>
    <row r="29" spans="1:22" ht="34.5" customHeight="1" x14ac:dyDescent="0.2">
      <c r="B29" s="59" t="s">
        <v>513</v>
      </c>
      <c r="C29" s="60"/>
      <c r="D29" s="60"/>
      <c r="E29" s="60"/>
      <c r="F29" s="60"/>
      <c r="G29" s="60"/>
      <c r="H29" s="60"/>
      <c r="I29" s="60"/>
      <c r="J29" s="60"/>
      <c r="K29" s="60"/>
      <c r="L29" s="60"/>
      <c r="M29" s="60"/>
      <c r="N29" s="60"/>
      <c r="O29" s="60"/>
      <c r="P29" s="60"/>
      <c r="Q29" s="60"/>
      <c r="R29" s="60"/>
      <c r="S29" s="60"/>
      <c r="T29" s="60"/>
      <c r="U29" s="61"/>
    </row>
    <row r="30" spans="1:22" ht="34.5" customHeight="1" x14ac:dyDescent="0.2">
      <c r="B30" s="59" t="s">
        <v>514</v>
      </c>
      <c r="C30" s="60"/>
      <c r="D30" s="60"/>
      <c r="E30" s="60"/>
      <c r="F30" s="60"/>
      <c r="G30" s="60"/>
      <c r="H30" s="60"/>
      <c r="I30" s="60"/>
      <c r="J30" s="60"/>
      <c r="K30" s="60"/>
      <c r="L30" s="60"/>
      <c r="M30" s="60"/>
      <c r="N30" s="60"/>
      <c r="O30" s="60"/>
      <c r="P30" s="60"/>
      <c r="Q30" s="60"/>
      <c r="R30" s="60"/>
      <c r="S30" s="60"/>
      <c r="T30" s="60"/>
      <c r="U30" s="61"/>
    </row>
    <row r="31" spans="1:22" ht="34.5" customHeight="1" x14ac:dyDescent="0.2">
      <c r="B31" s="59" t="s">
        <v>515</v>
      </c>
      <c r="C31" s="60"/>
      <c r="D31" s="60"/>
      <c r="E31" s="60"/>
      <c r="F31" s="60"/>
      <c r="G31" s="60"/>
      <c r="H31" s="60"/>
      <c r="I31" s="60"/>
      <c r="J31" s="60"/>
      <c r="K31" s="60"/>
      <c r="L31" s="60"/>
      <c r="M31" s="60"/>
      <c r="N31" s="60"/>
      <c r="O31" s="60"/>
      <c r="P31" s="60"/>
      <c r="Q31" s="60"/>
      <c r="R31" s="60"/>
      <c r="S31" s="60"/>
      <c r="T31" s="60"/>
      <c r="U31" s="61"/>
    </row>
    <row r="32" spans="1:22" ht="34.5" customHeight="1" x14ac:dyDescent="0.2">
      <c r="B32" s="59" t="s">
        <v>516</v>
      </c>
      <c r="C32" s="60"/>
      <c r="D32" s="60"/>
      <c r="E32" s="60"/>
      <c r="F32" s="60"/>
      <c r="G32" s="60"/>
      <c r="H32" s="60"/>
      <c r="I32" s="60"/>
      <c r="J32" s="60"/>
      <c r="K32" s="60"/>
      <c r="L32" s="60"/>
      <c r="M32" s="60"/>
      <c r="N32" s="60"/>
      <c r="O32" s="60"/>
      <c r="P32" s="60"/>
      <c r="Q32" s="60"/>
      <c r="R32" s="60"/>
      <c r="S32" s="60"/>
      <c r="T32" s="60"/>
      <c r="U32" s="61"/>
    </row>
    <row r="33" spans="2:21" ht="88.5" customHeight="1" x14ac:dyDescent="0.2">
      <c r="B33" s="59" t="s">
        <v>517</v>
      </c>
      <c r="C33" s="60"/>
      <c r="D33" s="60"/>
      <c r="E33" s="60"/>
      <c r="F33" s="60"/>
      <c r="G33" s="60"/>
      <c r="H33" s="60"/>
      <c r="I33" s="60"/>
      <c r="J33" s="60"/>
      <c r="K33" s="60"/>
      <c r="L33" s="60"/>
      <c r="M33" s="60"/>
      <c r="N33" s="60"/>
      <c r="O33" s="60"/>
      <c r="P33" s="60"/>
      <c r="Q33" s="60"/>
      <c r="R33" s="60"/>
      <c r="S33" s="60"/>
      <c r="T33" s="60"/>
      <c r="U33" s="61"/>
    </row>
    <row r="34" spans="2:21" ht="40.5" customHeight="1" x14ac:dyDescent="0.2">
      <c r="B34" s="59" t="s">
        <v>518</v>
      </c>
      <c r="C34" s="60"/>
      <c r="D34" s="60"/>
      <c r="E34" s="60"/>
      <c r="F34" s="60"/>
      <c r="G34" s="60"/>
      <c r="H34" s="60"/>
      <c r="I34" s="60"/>
      <c r="J34" s="60"/>
      <c r="K34" s="60"/>
      <c r="L34" s="60"/>
      <c r="M34" s="60"/>
      <c r="N34" s="60"/>
      <c r="O34" s="60"/>
      <c r="P34" s="60"/>
      <c r="Q34" s="60"/>
      <c r="R34" s="60"/>
      <c r="S34" s="60"/>
      <c r="T34" s="60"/>
      <c r="U34" s="61"/>
    </row>
    <row r="35" spans="2:21" ht="39" customHeight="1" x14ac:dyDescent="0.2">
      <c r="B35" s="59" t="s">
        <v>519</v>
      </c>
      <c r="C35" s="60"/>
      <c r="D35" s="60"/>
      <c r="E35" s="60"/>
      <c r="F35" s="60"/>
      <c r="G35" s="60"/>
      <c r="H35" s="60"/>
      <c r="I35" s="60"/>
      <c r="J35" s="60"/>
      <c r="K35" s="60"/>
      <c r="L35" s="60"/>
      <c r="M35" s="60"/>
      <c r="N35" s="60"/>
      <c r="O35" s="60"/>
      <c r="P35" s="60"/>
      <c r="Q35" s="60"/>
      <c r="R35" s="60"/>
      <c r="S35" s="60"/>
      <c r="T35" s="60"/>
      <c r="U35" s="61"/>
    </row>
    <row r="36" spans="2:21" ht="78" customHeight="1" thickBot="1" x14ac:dyDescent="0.25">
      <c r="B36" s="62" t="s">
        <v>520</v>
      </c>
      <c r="C36" s="63"/>
      <c r="D36" s="63"/>
      <c r="E36" s="63"/>
      <c r="F36" s="63"/>
      <c r="G36" s="63"/>
      <c r="H36" s="63"/>
      <c r="I36" s="63"/>
      <c r="J36" s="63"/>
      <c r="K36" s="63"/>
      <c r="L36" s="63"/>
      <c r="M36" s="63"/>
      <c r="N36" s="63"/>
      <c r="O36" s="63"/>
      <c r="P36" s="63"/>
      <c r="Q36" s="63"/>
      <c r="R36" s="63"/>
      <c r="S36" s="63"/>
      <c r="T36" s="63"/>
      <c r="U36" s="64"/>
    </row>
  </sheetData>
  <mergeCells count="63">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B27:U27"/>
    <mergeCell ref="C18:H18"/>
    <mergeCell ref="I18:K18"/>
    <mergeCell ref="L18:O18"/>
    <mergeCell ref="C19:H19"/>
    <mergeCell ref="I19:K19"/>
    <mergeCell ref="L19:O19"/>
    <mergeCell ref="C20:H20"/>
    <mergeCell ref="I20:K20"/>
    <mergeCell ref="L20:O20"/>
    <mergeCell ref="B24:D24"/>
    <mergeCell ref="B25:D25"/>
    <mergeCell ref="B33:U33"/>
    <mergeCell ref="B34:U34"/>
    <mergeCell ref="B35:U35"/>
    <mergeCell ref="B36:U36"/>
    <mergeCell ref="B28:U28"/>
    <mergeCell ref="B29:U29"/>
    <mergeCell ref="B30:U30"/>
    <mergeCell ref="B31:U31"/>
    <mergeCell ref="B32:U32"/>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32</vt:i4>
      </vt:variant>
    </vt:vector>
  </HeadingPairs>
  <TitlesOfParts>
    <vt:vector size="48" baseType="lpstr">
      <vt:lpstr>Portada</vt:lpstr>
      <vt:lpstr>20 E003</vt:lpstr>
      <vt:lpstr>20 S052</vt:lpstr>
      <vt:lpstr>20 S053</vt:lpstr>
      <vt:lpstr>20 S054</vt:lpstr>
      <vt:lpstr>20 S057</vt:lpstr>
      <vt:lpstr>20 S061</vt:lpstr>
      <vt:lpstr>20 S070</vt:lpstr>
      <vt:lpstr>20 S071</vt:lpstr>
      <vt:lpstr>20 S072</vt:lpstr>
      <vt:lpstr>20 S118</vt:lpstr>
      <vt:lpstr>20 S155</vt:lpstr>
      <vt:lpstr>20 S174</vt:lpstr>
      <vt:lpstr>20 S176</vt:lpstr>
      <vt:lpstr>20 S216</vt:lpstr>
      <vt:lpstr>20 U008</vt:lpstr>
      <vt:lpstr>'20 E003'!Área_de_impresión</vt:lpstr>
      <vt:lpstr>'20 S052'!Área_de_impresión</vt:lpstr>
      <vt:lpstr>'20 S053'!Área_de_impresión</vt:lpstr>
      <vt:lpstr>'20 S054'!Área_de_impresión</vt:lpstr>
      <vt:lpstr>'20 S057'!Área_de_impresión</vt:lpstr>
      <vt:lpstr>'20 S061'!Área_de_impresión</vt:lpstr>
      <vt:lpstr>'20 S070'!Área_de_impresión</vt:lpstr>
      <vt:lpstr>'20 S071'!Área_de_impresión</vt:lpstr>
      <vt:lpstr>'20 S072'!Área_de_impresión</vt:lpstr>
      <vt:lpstr>'20 S118'!Área_de_impresión</vt:lpstr>
      <vt:lpstr>'20 S155'!Área_de_impresión</vt:lpstr>
      <vt:lpstr>'20 S174'!Área_de_impresión</vt:lpstr>
      <vt:lpstr>'20 S176'!Área_de_impresión</vt:lpstr>
      <vt:lpstr>'20 S216'!Área_de_impresión</vt:lpstr>
      <vt:lpstr>'20 U008'!Área_de_impresión</vt:lpstr>
      <vt:lpstr>Portada!Área_de_impresión</vt:lpstr>
      <vt:lpstr>'20 E003'!Títulos_a_imprimir</vt:lpstr>
      <vt:lpstr>'20 S052'!Títulos_a_imprimir</vt:lpstr>
      <vt:lpstr>'20 S053'!Títulos_a_imprimir</vt:lpstr>
      <vt:lpstr>'20 S054'!Títulos_a_imprimir</vt:lpstr>
      <vt:lpstr>'20 S057'!Títulos_a_imprimir</vt:lpstr>
      <vt:lpstr>'20 S061'!Títulos_a_imprimir</vt:lpstr>
      <vt:lpstr>'20 S070'!Títulos_a_imprimir</vt:lpstr>
      <vt:lpstr>'20 S071'!Títulos_a_imprimir</vt:lpstr>
      <vt:lpstr>'20 S072'!Títulos_a_imprimir</vt:lpstr>
      <vt:lpstr>'20 S118'!Títulos_a_imprimir</vt:lpstr>
      <vt:lpstr>'20 S155'!Títulos_a_imprimir</vt:lpstr>
      <vt:lpstr>'20 S174'!Títulos_a_imprimir</vt:lpstr>
      <vt:lpstr>'20 S176'!Títulos_a_imprimir</vt:lpstr>
      <vt:lpstr>'20 S216'!Títulos_a_imprimir</vt:lpstr>
      <vt:lpstr>'20 U008'!Títulos_a_imprimir</vt:lpstr>
      <vt:lpstr>Portada!Títulos_a_imprimir</vt:lpstr>
    </vt:vector>
  </TitlesOfParts>
  <Company>SHCP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Pablo Emilio Ballesteros Cesar</cp:lastModifiedBy>
  <cp:lastPrinted>2009-03-26T01:46:20Z</cp:lastPrinted>
  <dcterms:created xsi:type="dcterms:W3CDTF">2009-03-25T01:44:41Z</dcterms:created>
  <dcterms:modified xsi:type="dcterms:W3CDTF">2014-04-11T23:36:34Z</dcterms:modified>
</cp:coreProperties>
</file>