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585" yWindow="-15" windowWidth="12630" windowHeight="12405" tabRatio="852"/>
  </bookViews>
  <sheets>
    <sheet name="Portada" sheetId="1" r:id="rId1"/>
    <sheet name="10 F003" sheetId="2" r:id="rId2"/>
    <sheet name="10 S016" sheetId="3" r:id="rId3"/>
    <sheet name="10 S020" sheetId="4" r:id="rId4"/>
    <sheet name="10 S021" sheetId="5" r:id="rId5"/>
    <sheet name="10 S151" sheetId="6" r:id="rId6"/>
    <sheet name="10 S220" sheetId="7" r:id="rId7"/>
    <sheet name="10 U003" sheetId="8" r:id="rId8"/>
    <sheet name="10 U004" sheetId="9" r:id="rId9"/>
  </sheets>
  <definedNames>
    <definedName name="_xlnm.Print_Area" localSheetId="1">'10 F003'!$B$1:$U$75</definedName>
    <definedName name="_xlnm.Print_Area" localSheetId="2">'10 S016'!$B$1:$U$45</definedName>
    <definedName name="_xlnm.Print_Area" localSheetId="3">'10 S020'!$B$1:$U$38</definedName>
    <definedName name="_xlnm.Print_Area" localSheetId="4">'10 S021'!$B$1:$U$51</definedName>
    <definedName name="_xlnm.Print_Area" localSheetId="5">'10 S151'!$B$1:$U$37</definedName>
    <definedName name="_xlnm.Print_Area" localSheetId="6">'10 S220'!$B$1:$U$47</definedName>
    <definedName name="_xlnm.Print_Area" localSheetId="7">'10 U003'!$B$1:$U$41</definedName>
    <definedName name="_xlnm.Print_Area" localSheetId="8">'10 U004'!$B$1:$U$33</definedName>
    <definedName name="_xlnm.Print_Area" localSheetId="0">Portada!$B$1:$AD$86</definedName>
    <definedName name="_xlnm.Print_Titles" localSheetId="1">'10 F003'!$1:$4</definedName>
    <definedName name="_xlnm.Print_Titles" localSheetId="2">'10 S016'!$1:$4</definedName>
    <definedName name="_xlnm.Print_Titles" localSheetId="3">'10 S020'!$1:$4</definedName>
    <definedName name="_xlnm.Print_Titles" localSheetId="4">'10 S021'!$1:$4</definedName>
    <definedName name="_xlnm.Print_Titles" localSheetId="5">'10 S151'!$1:$4</definedName>
    <definedName name="_xlnm.Print_Titles" localSheetId="6">'10 S220'!$1:$4</definedName>
    <definedName name="_xlnm.Print_Titles" localSheetId="7">'10 U003'!$1:$4</definedName>
    <definedName name="_xlnm.Print_Titles" localSheetId="8">'10 U004'!$1:$4</definedName>
    <definedName name="_xlnm.Print_Titles" localSheetId="0">Portada!$1:$4</definedName>
  </definedNames>
  <calcPr calcId="145621"/>
</workbook>
</file>

<file path=xl/calcChain.xml><?xml version="1.0" encoding="utf-8"?>
<calcChain xmlns="http://schemas.openxmlformats.org/spreadsheetml/2006/main">
  <c r="U21" i="9" l="1"/>
  <c r="U20" i="9"/>
  <c r="U16" i="9"/>
  <c r="U15" i="9"/>
  <c r="U14" i="9"/>
  <c r="U13" i="9"/>
  <c r="U12" i="9"/>
  <c r="U11" i="9"/>
  <c r="U25" i="8"/>
  <c r="U24" i="8"/>
  <c r="U20" i="8"/>
  <c r="U19" i="8"/>
  <c r="U18" i="8"/>
  <c r="U17" i="8"/>
  <c r="U16" i="8"/>
  <c r="U15" i="8"/>
  <c r="U14" i="8"/>
  <c r="U13" i="8"/>
  <c r="U12" i="8"/>
  <c r="U11" i="8"/>
  <c r="U28" i="7"/>
  <c r="U27" i="7"/>
  <c r="U23" i="7"/>
  <c r="U22" i="7"/>
  <c r="U21" i="7"/>
  <c r="U20" i="7"/>
  <c r="U19" i="7"/>
  <c r="U18" i="7"/>
  <c r="U17" i="7"/>
  <c r="U16" i="7"/>
  <c r="U15" i="7"/>
  <c r="U14" i="7"/>
  <c r="U13" i="7"/>
  <c r="U12" i="7"/>
  <c r="U11" i="7"/>
  <c r="U23" i="6"/>
  <c r="U22" i="6"/>
  <c r="U18" i="6"/>
  <c r="U17" i="6"/>
  <c r="U16" i="6"/>
  <c r="U15" i="6"/>
  <c r="U14" i="6"/>
  <c r="U13" i="6"/>
  <c r="U12" i="6"/>
  <c r="U11" i="6"/>
  <c r="U30" i="5"/>
  <c r="U29" i="5"/>
  <c r="U25" i="5"/>
  <c r="U24" i="5"/>
  <c r="U23" i="5"/>
  <c r="U22" i="5"/>
  <c r="U21" i="5"/>
  <c r="U20" i="5"/>
  <c r="U19" i="5"/>
  <c r="U18" i="5"/>
  <c r="U17" i="5"/>
  <c r="U16" i="5"/>
  <c r="U15" i="5"/>
  <c r="U14" i="5"/>
  <c r="U13" i="5"/>
  <c r="U12" i="5"/>
  <c r="U11" i="5"/>
  <c r="U24" i="4"/>
  <c r="U23" i="4"/>
  <c r="U19" i="4"/>
  <c r="U18" i="4"/>
  <c r="U17" i="4"/>
  <c r="U16" i="4"/>
  <c r="U15" i="4"/>
  <c r="U14" i="4"/>
  <c r="U13" i="4"/>
  <c r="U12" i="4"/>
  <c r="U11" i="4"/>
  <c r="U27" i="3"/>
  <c r="U26" i="3"/>
  <c r="U21" i="3"/>
  <c r="U20" i="3"/>
  <c r="U19" i="3"/>
  <c r="U18" i="3"/>
  <c r="U17" i="3"/>
  <c r="U16" i="3"/>
  <c r="U15" i="3"/>
  <c r="U14" i="3"/>
  <c r="U13" i="3"/>
  <c r="U12" i="3"/>
  <c r="U11" i="3"/>
  <c r="U42" i="2"/>
  <c r="U41" i="2"/>
  <c r="U37" i="2"/>
  <c r="U36" i="2"/>
  <c r="U35" i="2"/>
  <c r="U34" i="2"/>
  <c r="U33" i="2"/>
  <c r="U32" i="2"/>
  <c r="U31" i="2"/>
  <c r="U30" i="2"/>
  <c r="U29" i="2"/>
  <c r="U28" i="2"/>
  <c r="U27" i="2"/>
  <c r="U26" i="2"/>
  <c r="U25" i="2"/>
  <c r="U24" i="2"/>
  <c r="U23" i="2"/>
  <c r="U22" i="2"/>
  <c r="U21" i="2"/>
  <c r="U20" i="2"/>
  <c r="U19" i="2"/>
  <c r="U18" i="2"/>
  <c r="U17" i="2"/>
  <c r="U16" i="2"/>
  <c r="U15" i="2"/>
  <c r="U14" i="2"/>
  <c r="U13" i="2"/>
  <c r="U12" i="2"/>
  <c r="U11" i="2"/>
</calcChain>
</file>

<file path=xl/sharedStrings.xml><?xml version="1.0" encoding="utf-8"?>
<sst xmlns="http://schemas.openxmlformats.org/spreadsheetml/2006/main" count="1086" uniqueCount="475">
  <si>
    <t>Avance en los Indicadores de los Programas presupuestarios de la Administración Pública Federal</t>
  </si>
  <si>
    <t xml:space="preserve">    Ejercicio Fiscal 2013</t>
  </si>
  <si>
    <t>Ramo 10
Economía</t>
  </si>
  <si>
    <t>Programas presupuestarios cuya MIR se incluye en el reporte</t>
  </si>
  <si>
    <t xml:space="preserve">F-003 Promoción al Comercio Exterior y Atracción de Inversión Extranjera Directa
S-016 Fondo de Microfinanciamiento a Mujeres Rurales (FOMMUR)
S-020 Fondo de Apoyo para la Micro, Pequeña y Mediana Empresa (Fondo PYME)
S-021 Programa Nacional de Financiamiento al Microempresario
S-151 Programa para el Desarrollo de la Industria del Software (PROSOFT)
S-220 Programa para el Desarrollo de las Industrias de Alta Tecnología (PRODIAT)
U-003 Programa para impulsar la competitividad de sectores industriales
U-004 Proyectos estratégicos para la atracción de inversión extranjera
</t>
  </si>
  <si>
    <t>DATOS DEL PROGRAMA</t>
  </si>
  <si>
    <t>Programa presupuestario</t>
  </si>
  <si>
    <t>F003</t>
  </si>
  <si>
    <t>Promoción al Comercio Exterior y Atracción de Inversión Extranjera Directa</t>
  </si>
  <si>
    <t>Ramo</t>
  </si>
  <si>
    <t>10</t>
  </si>
  <si>
    <t>Economía</t>
  </si>
  <si>
    <t>Unidad responsable</t>
  </si>
  <si>
    <t>K2W-ProMéxico</t>
  </si>
  <si>
    <t>Enfoques transversales</t>
  </si>
  <si>
    <t>Clasificación Funcional</t>
  </si>
  <si>
    <t>Finalidad</t>
  </si>
  <si>
    <t>3 - Desarrollo Económico</t>
  </si>
  <si>
    <t>Función</t>
  </si>
  <si>
    <t>1 - Asuntos Económicos, Comerciales y Laborales en General</t>
  </si>
  <si>
    <t>Subfunción</t>
  </si>
  <si>
    <t>1 - Asuntos Económicos y Comerciales en General</t>
  </si>
  <si>
    <t>Actividad Institucional</t>
  </si>
  <si>
    <t>6 - Libre comercio con el exterior e inversión extranjera</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</si>
  <si>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</si>
  <si>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</si>
  <si>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</si>
  <si>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</si>
  <si>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</si>
  <si>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</si>
  <si>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</si>
  <si>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</si>
  <si>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</si>
  <si>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</si>
  <si>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</si>
  <si>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</si>
  <si>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</si>
  <si>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</si>
  <si>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</si>
  <si>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Contribuir con la integración de la actividad productiva de México en la economía mundial mediante la promoción al comercio exterior y la atracción de inversión extranjera directa</t>
  </si>
  <si>
    <r>
      <t xml:space="preserve">Contribuir al crecimiento de las exportaciones del país  </t>
    </r>
    <r>
      <rPr>
        <i/>
        <sz val="10"/>
        <color indexed="30"/>
        <rFont val="Soberana Sans"/>
        <family val="3"/>
      </rPr>
      <t xml:space="preserve">
Indicador Seleccionado</t>
    </r>
  </si>
  <si>
    <t xml:space="preserve">(Monto de las exportaciones realizadas por empresas apoyadas por ProMéxico / Monto total de las exportaciones no petroleras) X 100  </t>
  </si>
  <si>
    <t>Porcentaje</t>
  </si>
  <si>
    <t>Estratégico-Eficacia-Anual</t>
  </si>
  <si>
    <t/>
  </si>
  <si>
    <r>
      <t>Participación de México en los Flujos de Inversión Extranjera Directa (IED) Mundiales</t>
    </r>
    <r>
      <rPr>
        <i/>
        <sz val="10"/>
        <color indexed="30"/>
        <rFont val="Soberana Sans"/>
        <family val="3"/>
      </rPr>
      <t xml:space="preserve">
</t>
    </r>
  </si>
  <si>
    <t>(Captación Flujos IED México / Flujos IED Mundiales) X 100</t>
  </si>
  <si>
    <t>Propósito</t>
  </si>
  <si>
    <t>Las empresas extranjeras, exportadora mexicanas y con interés de exportar tienen acceso a la promoción tanto de comercio exterior como de inversión extanjera directa para que se incremente la inversión extranjera directa y las exportaciones mexicanas no petroleras.</t>
  </si>
  <si>
    <r>
      <t>Crecimiento de las exportaciones realizadas por clientes de ProMéxico</t>
    </r>
    <r>
      <rPr>
        <i/>
        <sz val="10"/>
        <color indexed="30"/>
        <rFont val="Soberana Sans"/>
        <family val="3"/>
      </rPr>
      <t xml:space="preserve">
</t>
    </r>
  </si>
  <si>
    <t>(Valor de las exportaciones realizadas por empresas apoyadas por ProMéxico durante el periodo del reporte / mismo dato año anterior) X 100</t>
  </si>
  <si>
    <r>
      <t>Crecimiento del monto en proyectos de inversión confirmados</t>
    </r>
    <r>
      <rPr>
        <i/>
        <sz val="10"/>
        <color indexed="30"/>
        <rFont val="Soberana Sans"/>
        <family val="3"/>
      </rPr>
      <t xml:space="preserve">
</t>
    </r>
  </si>
  <si>
    <t>(Valor de los proyectos multianuales confirmados por ProMéxico / mismo dato año anterior) X 100</t>
  </si>
  <si>
    <t>Componente</t>
  </si>
  <si>
    <t>A Servicios de promoción clasificados como satisfactorios.</t>
  </si>
  <si>
    <r>
      <t>Nivel de satisfacción en los servicios ofrecidos por ProMéxico</t>
    </r>
    <r>
      <rPr>
        <i/>
        <sz val="10"/>
        <color indexed="30"/>
        <rFont val="Soberana Sans"/>
        <family val="3"/>
      </rPr>
      <t xml:space="preserve">
</t>
    </r>
  </si>
  <si>
    <t>Sumatoria de la calificación de todas las encuestas aplicadaas / Número Total de Encuestas Aplicadas</t>
  </si>
  <si>
    <t>Gestión-Calidad-Semestral</t>
  </si>
  <si>
    <t>B Servicios de promoción otorgados.</t>
  </si>
  <si>
    <r>
      <t>Servicios otorgados a empresas clientes de ProMéxico que registraron exportaciones</t>
    </r>
    <r>
      <rPr>
        <i/>
        <sz val="10"/>
        <color indexed="30"/>
        <rFont val="Soberana Sans"/>
        <family val="3"/>
      </rPr>
      <t xml:space="preserve">
</t>
    </r>
  </si>
  <si>
    <t>Sumatoria de empresas que accedieron a por lo menos un servicio por parte de ProMéxico orientados a la exportación, y que reportan ventas al extranjero / resultado obtenido el año anterior X 100 (El resultado en 2012 fue de 1444)</t>
  </si>
  <si>
    <t>Gestión-Eficacia-Semestral</t>
  </si>
  <si>
    <r>
      <t>Servicios otorgados a empresas extranjeras que confirmaron un proyecto de inversión</t>
    </r>
    <r>
      <rPr>
        <i/>
        <sz val="10"/>
        <color indexed="30"/>
        <rFont val="Soberana Sans"/>
        <family val="3"/>
      </rPr>
      <t xml:space="preserve">
</t>
    </r>
  </si>
  <si>
    <t>Sumatoria de empresas que recibieron servicios relacionados con la atracción de inversión extranjera al país y que confirmaron al menos un proyecto de inversión / resultado obtenido el año anterior X100 (El resultado en 2012 fue de 147)</t>
  </si>
  <si>
    <t>Actividad</t>
  </si>
  <si>
    <t>A 1 Vinculación con mercados internacionales.</t>
  </si>
  <si>
    <r>
      <t>Realización de misiones comerciales apoyadas por ProMéxico</t>
    </r>
    <r>
      <rPr>
        <i/>
        <sz val="10"/>
        <color indexed="30"/>
        <rFont val="Soberana Sans"/>
        <family val="3"/>
      </rPr>
      <t xml:space="preserve">
</t>
    </r>
  </si>
  <si>
    <t>Sumatoria de misiones comerciales en las que ProMéxico apoyo</t>
  </si>
  <si>
    <t>mision comercial</t>
  </si>
  <si>
    <t>Gestión-Eficacia-Anual</t>
  </si>
  <si>
    <t>N/A</t>
  </si>
  <si>
    <r>
      <t>Proyectos de empresas mexicanas bajo el modelo de practicantes de negocios internacionales</t>
    </r>
    <r>
      <rPr>
        <i/>
        <sz val="10"/>
        <color indexed="30"/>
        <rFont val="Soberana Sans"/>
        <family val="3"/>
      </rPr>
      <t xml:space="preserve">
</t>
    </r>
  </si>
  <si>
    <t>Sumatoria del número de proyectos realizados por un practicante de negocios internacionales en los que ProMéxico brindó apoyo</t>
  </si>
  <si>
    <t>Proyecto</t>
  </si>
  <si>
    <r>
      <t>Capacitación en comercio exterior</t>
    </r>
    <r>
      <rPr>
        <i/>
        <sz val="10"/>
        <color indexed="30"/>
        <rFont val="Soberana Sans"/>
        <family val="3"/>
      </rPr>
      <t xml:space="preserve">
</t>
    </r>
  </si>
  <si>
    <t>Sumatoria de número de beneficiarios capacitados en materia de comercio exterior durante el periodo de reporte</t>
  </si>
  <si>
    <t>Beneficiario</t>
  </si>
  <si>
    <t>Gestión-Eficiencia-Trimestral</t>
  </si>
  <si>
    <r>
      <t>Ferias Internacionales con Pabellón Nacional en las que participa ProMéxico.</t>
    </r>
    <r>
      <rPr>
        <i/>
        <sz val="10"/>
        <color indexed="30"/>
        <rFont val="Soberana Sans"/>
        <family val="3"/>
      </rPr>
      <t xml:space="preserve">
</t>
    </r>
  </si>
  <si>
    <t>Sumatoria del número de ferias con pabellón nacional en las que participó ProMéxico durante el periodo de reporte</t>
  </si>
  <si>
    <t>Ferias</t>
  </si>
  <si>
    <r>
      <t>Empresas asistentes en ferias internacionales con pabellón nacional en las que participa ProMéxico</t>
    </r>
    <r>
      <rPr>
        <i/>
        <sz val="10"/>
        <color indexed="30"/>
        <rFont val="Soberana Sans"/>
        <family val="3"/>
      </rPr>
      <t xml:space="preserve">
</t>
    </r>
  </si>
  <si>
    <t>Sumatoria de empresas con stand en pabellón nacional en las que participe ProMéxico/número de ferias realizadas</t>
  </si>
  <si>
    <t>Empresa</t>
  </si>
  <si>
    <t>Gestión-Eficiencia-Semestral</t>
  </si>
  <si>
    <r>
      <t>Otorgamiento de apoyos a empresas.</t>
    </r>
    <r>
      <rPr>
        <i/>
        <sz val="10"/>
        <color indexed="30"/>
        <rFont val="Soberana Sans"/>
        <family val="3"/>
      </rPr>
      <t xml:space="preserve">
</t>
    </r>
  </si>
  <si>
    <t>Sumatoria de apoyos otorgados y rembolsados a empresas para la promoción del comercio internacional.</t>
  </si>
  <si>
    <t>Apoyos</t>
  </si>
  <si>
    <t>Gestión-Eficacia-Trimestral</t>
  </si>
  <si>
    <t>A 2 Ejecución de modelos de promoción.</t>
  </si>
  <si>
    <r>
      <t>Proyectos de inversión confirmados generados por Coordinación Regional en el interior del país</t>
    </r>
    <r>
      <rPr>
        <i/>
        <sz val="10"/>
        <color indexed="30"/>
        <rFont val="Soberana Sans"/>
        <family val="3"/>
      </rPr>
      <t xml:space="preserve">
</t>
    </r>
  </si>
  <si>
    <t>Promedio del número de proyectos de inversión de empresas extranjeras confirmados acumulado durante el año por Coordinación Regional en el interior del país</t>
  </si>
  <si>
    <r>
      <t>Exportaciones confirmadas en proyectos basados en el modelo de la oferta por punto de presencia de ProMéxico en el interior</t>
    </r>
    <r>
      <rPr>
        <i/>
        <sz val="10"/>
        <color indexed="30"/>
        <rFont val="Soberana Sans"/>
        <family val="3"/>
      </rPr>
      <t xml:space="preserve">
</t>
    </r>
  </si>
  <si>
    <t>Valor de las exportaciones confirmadas acumuladas en el año realizadas por empresas apoyadas por ProMéxico bajo el modelo de la oferta / número de Oficinas de Representación en el interior operando</t>
  </si>
  <si>
    <t>Miles de millones de dólares</t>
  </si>
  <si>
    <r>
      <t>Inversión confirmada de empresas extranjeras sin presencia en México por Consejería</t>
    </r>
    <r>
      <rPr>
        <i/>
        <sz val="10"/>
        <color indexed="30"/>
        <rFont val="Soberana Sans"/>
        <family val="3"/>
      </rPr>
      <t xml:space="preserve">
</t>
    </r>
  </si>
  <si>
    <t>Valor acumulado en el año de los proyectos de inversión multianuales confirmados por ProMéxico de empresas extranjeras sin presencia en México / Número de Oficinas de Representación en el Exterior operando</t>
  </si>
  <si>
    <r>
      <t>Exportaciones confirmadas en proyectos bajo el modelo Alianza con Compañías Trasnacionales (ACT) por Ejecutivo de Cuenta</t>
    </r>
    <r>
      <rPr>
        <i/>
        <sz val="10"/>
        <color indexed="30"/>
        <rFont val="Soberana Sans"/>
        <family val="3"/>
      </rPr>
      <t xml:space="preserve">
</t>
    </r>
  </si>
  <si>
    <t>Valor de las exportaciones confirmadas acumuladas en el año realizadas por empresas apoyadas por ProMéxico bajo el modelo ACT / número de ejecutivos de cuenta responsables del modelo</t>
  </si>
  <si>
    <r>
      <t>Inversión confirmada de empresas extranjeras con presencia en México por Coordinador</t>
    </r>
    <r>
      <rPr>
        <i/>
        <sz val="10"/>
        <color indexed="30"/>
        <rFont val="Soberana Sans"/>
        <family val="3"/>
      </rPr>
      <t xml:space="preserve">
</t>
    </r>
  </si>
  <si>
    <t>Valor acumulado en el año de los proyectos de inversión multianuales confirmados por ProMéxico de empresas extranjeras con presencia en México / número de Coordinadores responsables del modelo</t>
  </si>
  <si>
    <r>
      <t>Finalización con éxito de solicitudes de atención correctiva para clientes de ProMéxico</t>
    </r>
    <r>
      <rPr>
        <i/>
        <sz val="10"/>
        <color indexed="30"/>
        <rFont val="Soberana Sans"/>
        <family val="3"/>
      </rPr>
      <t xml:space="preserve">
</t>
    </r>
  </si>
  <si>
    <t>(Solicitudes de atención correctiva finalizadas conforme al plan de trabajo acordado con la empresa / solicitudes finalizadas en el período) X 100</t>
  </si>
  <si>
    <r>
      <t>Exportaciones confirmadas en proyectos basados en la demanda por consejería</t>
    </r>
    <r>
      <rPr>
        <i/>
        <sz val="10"/>
        <color indexed="30"/>
        <rFont val="Soberana Sans"/>
        <family val="3"/>
      </rPr>
      <t xml:space="preserve">
</t>
    </r>
  </si>
  <si>
    <t>Valor de las exportaciones confirmadas acumuladas en el año realizadas por empresas apoyadas por ProMéxico bajo el modelo basado en la demanda / número de Consejerías operando en el exterior</t>
  </si>
  <si>
    <t>A 3 Provisión de información.</t>
  </si>
  <si>
    <r>
      <t>Atención de solicitudes de información.</t>
    </r>
    <r>
      <rPr>
        <i/>
        <sz val="10"/>
        <color indexed="30"/>
        <rFont val="Soberana Sans"/>
        <family val="3"/>
      </rPr>
      <t xml:space="preserve">
</t>
    </r>
  </si>
  <si>
    <t>(Número de solicitudes de información atendidas / Número de solicitudes de información recibidas) X 100</t>
  </si>
  <si>
    <r>
      <t>Satisfacción en los productos y servicios de información</t>
    </r>
    <r>
      <rPr>
        <i/>
        <sz val="10"/>
        <color indexed="30"/>
        <rFont val="Soberana Sans"/>
        <family val="3"/>
      </rPr>
      <t xml:space="preserve">
</t>
    </r>
  </si>
  <si>
    <t>Sumatoria de la calificación general de las encuentas de satisfacción de servicios de información aplicadas / Número total de encuestas de servicios de información aplicadas</t>
  </si>
  <si>
    <t>Gestión-Calidad-Trimestral</t>
  </si>
  <si>
    <r>
      <t>Casos de negocios</t>
    </r>
    <r>
      <rPr>
        <i/>
        <sz val="10"/>
        <color indexed="30"/>
        <rFont val="Soberana Sans"/>
        <family val="3"/>
      </rPr>
      <t xml:space="preserve">
</t>
    </r>
  </si>
  <si>
    <t>(Número de casos de negocios utilizados por las áreas de promoción / Número total de casos de negocios desarrollados) X 100</t>
  </si>
  <si>
    <t>A 4 Generación de encuestas de satisfacción de servicios.</t>
  </si>
  <si>
    <r>
      <t>Proporción de beneficiarios que contestan evaluaciones</t>
    </r>
    <r>
      <rPr>
        <i/>
        <sz val="10"/>
        <color indexed="30"/>
        <rFont val="Soberana Sans"/>
        <family val="3"/>
      </rPr>
      <t xml:space="preserve">
</t>
    </r>
  </si>
  <si>
    <t>Sumatoria de encuestas contestadas / número total de servicios otorgados por ProMéxico</t>
  </si>
  <si>
    <t>A 5 Detonación de sectores industriales de alto valor agregado.</t>
  </si>
  <si>
    <r>
      <t>Mapas de ruta tecnológicos desarrollados</t>
    </r>
    <r>
      <rPr>
        <i/>
        <sz val="10"/>
        <color indexed="30"/>
        <rFont val="Soberana Sans"/>
        <family val="3"/>
      </rPr>
      <t xml:space="preserve">
</t>
    </r>
  </si>
  <si>
    <t>(Número de mapas de ruta tecnológicos que son adoptados por entidades externas a ProMéxico / Número total de mapas de ruta desarrollados) X 100</t>
  </si>
  <si>
    <r>
      <t>Casos de negocios tipo</t>
    </r>
    <r>
      <rPr>
        <i/>
        <sz val="10"/>
        <color indexed="30"/>
        <rFont val="Soberana Sans"/>
        <family val="3"/>
      </rPr>
      <t xml:space="preserve">
</t>
    </r>
  </si>
  <si>
    <t>Sumatoria casos de negocios tipo resultantes de los mapas de ruta tecnológicos desarrollados durante el periodo.</t>
  </si>
  <si>
    <t>Casos de negocio</t>
  </si>
  <si>
    <r>
      <t>Crecimiento de las inversiones y comercio internacional registrado en los sectores definidos como de alto valor agregado.</t>
    </r>
    <r>
      <rPr>
        <i/>
        <sz val="10"/>
        <color indexed="30"/>
        <rFont val="Soberana Sans"/>
        <family val="3"/>
      </rPr>
      <t xml:space="preserve">
</t>
    </r>
  </si>
  <si>
    <t>Crecimiento porcentual de las inversiones y comercio internacional registradas por ProMéxico en sectores de alto valor agregado para los cuales se haya desarrollado o actualizado un mapa de ruta tecnológico durante el año inmediato anterior.</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</si>
  <si>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</si>
  <si>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</si>
  <si>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</si>
  <si>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</si>
  <si>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</si>
  <si>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</si>
  <si>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</si>
  <si>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</si>
  <si>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</si>
  <si>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r>
      <t xml:space="preserve">Contribuir al crecimiento de las exportaciones del país  
</t>
    </r>
    <r>
      <rPr>
        <sz val="10"/>
        <rFont val="Soberana Sans"/>
        <family val="2"/>
      </rPr>
      <t xml:space="preserve"> Causa : En 2013 ProMéxico estableció el indicador estratégico ¿Contribuir al crecimiento de las exportaciones del país¿, que mide la eficacia del impulso de las exportaciones realizadas por las empresas apoyadas por este fideicomiso. La meta aprobada fue de alcanzar el 3.8 % del monto total de las exportaciones; al cierre del mes de octubre (debido a que la información de la cinta de aduanas se informa con un desfase de tres meses) la meta alcanzada fue de 5.0 %, lo cual significó un porcentaje de cumplimiento de 131.6 % con relación a la meta aprobada. Este comportamiento se explica principalmente por lo siguiente:   ¿El resultado alcanzado se debe principalmente a la intensa actividad que se realizó en materia de promoción de exportaciones; en este sentido ProMéxico se avocó a la atención de empresas nacionales, proporcionándoles diversos servicios, como agendas de negocios, asesoría especializada, asistencia técnica, capacitación en negocios internacionales, bolsas de viaje, participación en ferias y misiones, entre otros servicios que facilitan la presencia de sus productos y servicios en los mercados internacionales.   ¿Con el objetivo de facilitar el proceso de promoción de productos mexicanos en el exterior, la herramienta Exportanet  evolucionó hacia ¿Hecho en México ¿ B2B¿, por medio de la cual se realiza una promoción proactiva de empresas exportadoras mexicanas (validadas por promotores en toda el país) con empresas compradoras en el extranjero (validadas por promotores en la oficinas del exterior). La nueva versión incorpora a empresas de servicios y aliados estratégicos para el complemento de los servicios de la comunidad de negocios.    Efecto: Con los beneficios económicos y sociales alcanzados con este indicador de fin, el Gobierno Federal contribuye a impulsar las exportaciones de productos mexicanos y promover la internacionalización de las empresas mexicanas para contribuir al desarrollo económico y social de México    Se apoyó con asesorías a las empresas exportadoras, con el propósito de que sus productos logren alcanzar nuevos mercados, y con ello conservar sus fuentes de empleo.   ¿A través de las misiones comerciales en el exterior se logró generar mayor presencia de productos mexicanos en los mercados internacionales, y así motivar compras de insumos, generando mayor actividad económica en las regiones donde se ubican.    Otros Motivos:</t>
    </r>
  </si>
  <si>
    <r>
      <t xml:space="preserve">Participación de México en los Flujos de Inversión Extranjera Directa (IED) Mundiales
</t>
    </r>
    <r>
      <rPr>
        <sz val="10"/>
        <rFont val="Soberana Sans"/>
        <family val="2"/>
      </rPr>
      <t xml:space="preserve"> Causa : No se cuenta con información de UNCTAD sobre flujos de IED en 2013. Efecto: no solo logro medir el indicador Otros Motivos:</t>
    </r>
  </si>
  <si>
    <r>
      <t xml:space="preserve">Crecimiento de las exportaciones realizadas por clientes de ProMéxico
</t>
    </r>
    <r>
      <rPr>
        <sz val="10"/>
        <rFont val="Soberana Sans"/>
        <family val="2"/>
      </rPr>
      <t xml:space="preserve"> Causa : Resultados: $12,476 mdd en el periodo enero  - octubre 2012. Para el mismo periodo del 2013 se registra un monto de exportaciones de $13,744 Efecto: menor crecimiento de las exportaciones      Otros Motivos:</t>
    </r>
  </si>
  <si>
    <r>
      <t xml:space="preserve">Crecimiento del monto en proyectos de inversión confirmados
</t>
    </r>
    <r>
      <rPr>
        <sz val="10"/>
        <rFont val="Soberana Sans"/>
        <family val="2"/>
      </rPr>
      <t xml:space="preserve"> Causa : Programación original deficiente: No es posible generar un indicador de desempeño vinculado con el monto de inversión de las empresas que atiende ProMéxico. Efecto: no es posiblie evaluar el indicador Otros Motivos:</t>
    </r>
  </si>
  <si>
    <r>
      <t xml:space="preserve">Nivel de satisfacción en los servicios ofrecidos por ProMéxico
</t>
    </r>
    <r>
      <rPr>
        <sz val="10"/>
        <rFont val="Soberana Sans"/>
        <family val="2"/>
      </rPr>
      <t xml:space="preserve"> Causa : Otras explicaciones a las variaciones: El nivel de satisfacción alcanzado en el segundo semestre de 2013 es de 93%, lo cual representa un 3% arriba de la meta programada para este periodo y el porcentaje general alcanzado para 2013 es de 92%, es decir un 2% más del programado para el año. Efecto: El nivel de satisfacción alcanzado en el segundo semestre de 2013 es de 93%, lo cual representa un 3% arriba de la meta programada para este periodo y el porcentaje general alcanzado para 2013 es de 92%, es decir un 2% más del programado para el año. Otros Motivos:</t>
    </r>
  </si>
  <si>
    <r>
      <t xml:space="preserve">Servicios otorgados a empresas clientes de ProMéxico que registraron exportaciones
</t>
    </r>
    <r>
      <rPr>
        <sz val="10"/>
        <rFont val="Soberana Sans"/>
        <family val="2"/>
      </rPr>
      <t xml:space="preserve"> Causa : Resultados: 962 empresas atendidas en el periodo enero  - octubre 2012. Para el mismo periodo del 2013 se registró un acumulado de 1,025 empresas atendidas que reportan exportaciones.  Efecto: desminución en los servicios de exportación atendidas  Otros Motivos:</t>
    </r>
  </si>
  <si>
    <r>
      <t xml:space="preserve">Servicios otorgados a empresas extranjeras que confirmaron un proyecto de inversión
</t>
    </r>
    <r>
      <rPr>
        <sz val="10"/>
        <rFont val="Soberana Sans"/>
        <family val="2"/>
      </rPr>
      <t xml:space="preserve"> Causa : la meta programada es deificiente Efecto: No se logro cumplir la meta Otros Motivos:</t>
    </r>
  </si>
  <si>
    <r>
      <t xml:space="preserve">Realización de misiones comerciales apoyadas por ProMéxico
</t>
    </r>
    <r>
      <rPr>
        <sz val="10"/>
        <rFont val="Soberana Sans"/>
        <family val="2"/>
      </rPr>
      <t xml:space="preserve"> Causa : Otras explicaciones a las variaciones: se abrieron oportunidades de realizar un mayor número de misiones además de las planteadas inicialmente. Efecto: Un mayor demanda del servicio Otros Motivos:</t>
    </r>
  </si>
  <si>
    <r>
      <t xml:space="preserve">Proyectos de empresas mexicanas bajo el modelo de practicantes de negocios internacionales
</t>
    </r>
    <r>
      <rPr>
        <sz val="10"/>
        <rFont val="Soberana Sans"/>
        <family val="2"/>
      </rPr>
      <t xml:space="preserve"> Causa : Otras causas que por su naturaleza no es posible agrupar: Se dieron de baja 6 practicantes y ya no se tuvieron más proyectos. Efecto: Una menor demanda del servicio. Otros Motivos:</t>
    </r>
  </si>
  <si>
    <r>
      <t xml:space="preserve">Capacitación en comercio exterior
</t>
    </r>
    <r>
      <rPr>
        <sz val="10"/>
        <rFont val="Soberana Sans"/>
        <family val="2"/>
      </rPr>
      <t xml:space="preserve"> Causa : Menor demanda de bienes y servicios. No se logro cumplir la meta, debido a un menor número de beneficiarios capacitados en materia de comercio exterior. Efecto: Menor número de beneficiarios capacitados en materia de comercio exterior. Otros Motivos:</t>
    </r>
  </si>
  <si>
    <r>
      <t xml:space="preserve">Ferias Internacionales con Pabellón Nacional en las que participa ProMéxico.
</t>
    </r>
    <r>
      <rPr>
        <sz val="10"/>
        <rFont val="Soberana Sans"/>
        <family val="2"/>
      </rPr>
      <t xml:space="preserve"> Causa : Otras causas que por su naturaleza no es posible agrupar: La cancelación de varios eventos se debió a cuestiones de logística de los organizadores de los mismos, siendo causas no imputables a ProMéxico. Efecto: La cancelación de varios eventos se por  cuestiones de logística. Otros Motivos:</t>
    </r>
  </si>
  <si>
    <r>
      <t xml:space="preserve">Empresas asistentes en ferias internacionales con pabellón nacional en las que participa ProMéxico
</t>
    </r>
    <r>
      <rPr>
        <sz val="10"/>
        <rFont val="Soberana Sans"/>
        <family val="2"/>
      </rPr>
      <t xml:space="preserve"> Causa : Otras causas que por su naturaleza no es posible agrupar: Debido al menor número de ferias internacionales, el número de beneficiarios también se redujo con respecto a lo planeado. Efecto: Menor número de beneficiarios con respecto a lo planeado. Otros Motivos:</t>
    </r>
  </si>
  <si>
    <r>
      <t xml:space="preserve">Otorgamiento de apoyos a empresas.
</t>
    </r>
    <r>
      <rPr>
        <sz val="10"/>
        <rFont val="Soberana Sans"/>
        <family val="2"/>
      </rPr>
      <t xml:space="preserve"> Causa : Otras explicaciones a las variaciones: Se dio una mayor demanda de apoyos y mayor cumplimiento de requisitos para el reembolso. Efecto: Mayor numero de apoyos que entrego ProMéxico en materia de comercio internacional. Otros Motivos:</t>
    </r>
  </si>
  <si>
    <r>
      <t xml:space="preserve">Proyectos de inversión confirmados generados por Coordinación Regional en el interior del país
</t>
    </r>
    <r>
      <rPr>
        <sz val="10"/>
        <rFont val="Soberana Sans"/>
        <family val="2"/>
      </rPr>
      <t xml:space="preserve"> Causa : Otras causas que por su naturaleza no es posible agrupar: una planeación deficiente. Efecto: No se cumplió con la meta, se requiere un mejor desempeño en las Oficinas en el interior del país. Otros Motivos:</t>
    </r>
  </si>
  <si>
    <r>
      <t xml:space="preserve">Exportaciones confirmadas en proyectos basados en el modelo de la oferta por punto de presencia de ProMéxico en el interior
</t>
    </r>
    <r>
      <rPr>
        <sz val="10"/>
        <rFont val="Soberana Sans"/>
        <family val="2"/>
      </rPr>
      <t xml:space="preserve"> Causa : Se rebasan los montos, sin embargo, esto no necesariamente significa que tuvimos un buen desempeño. No hay correlación entre montos y desempeño. Por eso como se puede llegar a no cumplir la meta se puede llegar a sobrepasarla. En este caso, la sobrepasamos por más de 30%. Efecto: El desempeño en las Oficinas de Representación en el interior debe mejorar Otros Motivos:</t>
    </r>
  </si>
  <si>
    <r>
      <t xml:space="preserve">Inversión confirmada de empresas extranjeras sin presencia en México por Consejería
</t>
    </r>
    <r>
      <rPr>
        <sz val="10"/>
        <rFont val="Soberana Sans"/>
        <family val="2"/>
      </rPr>
      <t xml:space="preserve"> Causa : Programación original deficiente: No es posible generar un indicador de desempeño vinculado con el monto de inversión de las empresas que atiende ProMéxico. Efecto: No es posible generar un indicador de desempeño  Otros Motivos:</t>
    </r>
  </si>
  <si>
    <r>
      <t xml:space="preserve">Exportaciones confirmadas en proyectos bajo el modelo Alianza con Compañías Trasnacionales (ACT) por Ejecutivo de Cuenta
</t>
    </r>
    <r>
      <rPr>
        <sz val="10"/>
        <rFont val="Soberana Sans"/>
        <family val="2"/>
      </rPr>
      <t xml:space="preserve"> Causa : Programación original deficiente: No es posible generar un indicador de desempeño vinculado con el monto de inversión de las empresas que atiende ProMéxico. 280 millones de dólares/ 5 ejecutivos ACT Efecto: Se requiere un mejor planteamiento del indicador Otros Motivos:</t>
    </r>
  </si>
  <si>
    <r>
      <t xml:space="preserve">Inversión confirmada de empresas extranjeras con presencia en México por Coordinador
</t>
    </r>
    <r>
      <rPr>
        <sz val="10"/>
        <rFont val="Soberana Sans"/>
        <family val="2"/>
      </rPr>
      <t xml:space="preserve"> Causa : Programación original deficiente: No es posible generar un indicador de desempeño vinculado con el monto de inversión de las empresas que atiende ProMéxico. Efecto: No es posible generar un indicador de desempeño vinculado con el monto de inversión de las empresas que atiende ProMéxico. Otros Motivos:</t>
    </r>
  </si>
  <si>
    <r>
      <t xml:space="preserve">Finalización con éxito de solicitudes de atención correctiva para clientes de ProMéxico
</t>
    </r>
    <r>
      <rPr>
        <sz val="10"/>
        <rFont val="Soberana Sans"/>
        <family val="2"/>
      </rPr>
      <t xml:space="preserve"> Causa : Otras causas que por su naturaleza no es posible agrupar: En el periodo de enero a noviembre del 2013 ProMéxico atendió 61 solicitudes de aftercare correctivo, de los cuáles 45 se han cerrado de manera exitosa. De los 16 restantes, cuatro de ellos se han presentado en noviembre, por lo que son de reciente apertura. Los 12 restantes han sido por solicitudes de reuniones con  el gobierno federal, estatal y municipal para permisos de construcción, devolución de impuestos, trámites de renovación, entre otros. Efecto: Se atendio de manera correctiva las solicitudes  Otros Motivos:</t>
    </r>
  </si>
  <si>
    <r>
      <t xml:space="preserve">Exportaciones confirmadas en proyectos basados en la demanda por consejería
</t>
    </r>
    <r>
      <rPr>
        <sz val="10"/>
        <rFont val="Soberana Sans"/>
        <family val="2"/>
      </rPr>
      <t xml:space="preserve"> Causa : Programación original deficiente: No es posible generar un indicador de desempeño vinculado con el monto de inversión de las empresas que atiende  Efecto: Mejorar el planteamiento del indicador Otros Motivos:</t>
    </r>
  </si>
  <si>
    <r>
      <t xml:space="preserve">Atención de solicitudes de información.
</t>
    </r>
    <r>
      <rPr>
        <sz val="10"/>
        <rFont val="Soberana Sans"/>
        <family val="2"/>
      </rPr>
      <t xml:space="preserve"> Causa : Otras explicaciones a las variaciones: de 514 solicitudes recibidas a través de la ventanilla de Inteligencia, se atendieron 512. Las dos solicitudes faltantes no se generaron debido a que la información solicitada no correspondía a información generada por ProMéxico así como una solicitud extraurgente que por motivos de tiempo no se pudo atender. Efecto: se atendio las solicitudes de información Otros Motivos:</t>
    </r>
  </si>
  <si>
    <r>
      <t xml:space="preserve">Satisfacción en los productos y servicios de información
</t>
    </r>
    <r>
      <rPr>
        <sz val="10"/>
        <rFont val="Soberana Sans"/>
        <family val="2"/>
      </rPr>
      <t xml:space="preserve"> Causa : No se contó con una encuesta automatizada para solicitar percepción de los clientes sobre la satisfacción del servicio. Por ello, se depende de correos electrónicos recibidos de respuesta al otorgamiento del servicio. Efecto: No se contó con la respuesta por parte de los beneficiarios, ya que era a través de correos electrónicos Otros Motivos:</t>
    </r>
  </si>
  <si>
    <r>
      <t xml:space="preserve">Casos de negocios
</t>
    </r>
    <r>
      <rPr>
        <sz val="10"/>
        <rFont val="Soberana Sans"/>
        <family val="2"/>
      </rPr>
      <t xml:space="preserve"> Causa : Otras explicaciones a las variaciones: De 24 casos de negocios generados se lograron implementar 15, los 9 restantes no se ejecutaron debido a cambios en la planeación de áreas externas a la Unidad de Inteligencia de Negocios (quien genera los casos). Esta situación es un elemento que se contempla anualmente. Efecto: Se generaron  24 casos de negocios, implementaron 15. El motivo de la no implementación de los 9 restantes fue por cambios en la planeación y ejecución de áreas externas a la Unidad de Inteligencia de Negocios encargadas de ello. Otros Motivos:</t>
    </r>
  </si>
  <si>
    <r>
      <t xml:space="preserve">Proporción de beneficiarios que contestan evaluaciones
</t>
    </r>
    <r>
      <rPr>
        <sz val="10"/>
        <rFont val="Soberana Sans"/>
        <family val="2"/>
      </rPr>
      <t xml:space="preserve"> Causa : Otras explicaciones a las variaciones: se dio una mayor participación de los clientes de ProMéxico para evaluar la atención de la institución. Efecto: Se logro una mayor participación al contestar las encuentas superando la meta Otros Motivos:</t>
    </r>
  </si>
  <si>
    <r>
      <t xml:space="preserve">Mapas de ruta tecnológicos desarrollados
</t>
    </r>
    <r>
      <rPr>
        <sz val="10"/>
        <rFont val="Soberana Sans"/>
        <family val="2"/>
      </rPr>
      <t xml:space="preserve"> Causa : Otras explicaciones a las variaciones: Elaborados durante el primer semestre: Aeroespacial (Plan de Vuelo Nacional), Espacial (Plan de Órbita), Industrias Creativas. Elaborados durante el segundo semestre: TIs para manufactura Avanzada, DUSI Valle de San Pedro, Ecosistemas de Diseño. Indicador: 6/6 = 100% Efecto: Se adoptaron los mapas de ruta propuesto por ProMéxico en los sectores señalados, rebasando la meta Otros Motivos:</t>
    </r>
  </si>
  <si>
    <r>
      <t xml:space="preserve">Casos de negocios tipo
</t>
    </r>
    <r>
      <rPr>
        <sz val="10"/>
        <rFont val="Soberana Sans"/>
        <family val="2"/>
      </rPr>
      <t xml:space="preserve"> Causa : Se cumplió al 100 por ciento. Efecto: Aceptación de los mapas de ruta propuestos por ProMéxico Otros Motivos:</t>
    </r>
  </si>
  <si>
    <r>
      <t xml:space="preserve">Crecimiento de las inversiones y comercio internacional registrado en los sectores definidos como de alto valor agregado.
</t>
    </r>
    <r>
      <rPr>
        <sz val="10"/>
        <rFont val="Soberana Sans"/>
        <family val="2"/>
      </rPr>
      <t xml:space="preserve"> Causa : En el metodo de calculo se especifica que solo se tomara en cuenta el sector de alto valor agregado y el unico que cumple el supuesto es aeroespacial no cumple con el crecimeinto espeado  Efecto: la programación deficiente  Otros Motivos:</t>
    </r>
  </si>
  <si>
    <t>S016</t>
  </si>
  <si>
    <t>Fondo de Microfinanciamiento a Mujeres Rurales (FOMMUR)</t>
  </si>
  <si>
    <t>102-Coordinación General del Programa Nacional de Financiamiento al Microempresario</t>
  </si>
  <si>
    <t>Perspectiva de Género</t>
  </si>
  <si>
    <t>3 - Micro, pequeñas y medianas empresas productivas y competitivas</t>
  </si>
  <si>
    <t>Contribuir a mejorar las condiciones de inserción de las mujeres rurales emprendedoras de bajos ingresos al sistema productivo nacional mediante el apoyo que se les brinda para crear y desarrollar microempresas.</t>
  </si>
  <si>
    <r>
      <t>Sostenibilidad de las microempresas de las mujeres rurales de bajos ingresos beneficiarias de microcrédito</t>
    </r>
    <r>
      <rPr>
        <i/>
        <sz val="10"/>
        <color indexed="30"/>
        <rFont val="Soberana Sans"/>
        <family val="3"/>
      </rPr>
      <t xml:space="preserve">
</t>
    </r>
  </si>
  <si>
    <t>(Microempresas de las beneficiarias que han operado durante 6 meses o más en el año (t)/ Microempresas de beneficiarias en el año (t-1) y en el año (t))*100</t>
  </si>
  <si>
    <t>Estratégico-Eficacia-Bianual</t>
  </si>
  <si>
    <t>Mujeres rurales emprendedoras de bajos ingresos crean y desarrollan microempresas a través del acceso al financiamiento.</t>
  </si>
  <si>
    <r>
      <t>Razón de creación de microempresas de las  mujeres rurales de bajos ingresos beneficiarias  de los micro créditos</t>
    </r>
    <r>
      <rPr>
        <i/>
        <sz val="10"/>
        <color indexed="30"/>
        <rFont val="Soberana Sans"/>
        <family val="3"/>
      </rPr>
      <t xml:space="preserve">
</t>
    </r>
  </si>
  <si>
    <t>(Número de emprendedoras de bajos ingresos que crearon microempresas beneficiarias de al menos un microcrédito en el año (t)/Número de emprendedoras de bajos ingresos que recibieron un microcrédito en el año (t)*100</t>
  </si>
  <si>
    <t>A Apoyos crediticios otorgados a Instituciones de Micro Financiamiento (IMF) destinados a sustentar líneas de micro créditos a mujeres rurales emprendedoras de bajos ingresos.</t>
  </si>
  <si>
    <r>
      <t>Porcentaje de variación interanual de microcréditos otorgados a emprendedoras de bajos ingresos.</t>
    </r>
    <r>
      <rPr>
        <i/>
        <sz val="10"/>
        <color indexed="30"/>
        <rFont val="Soberana Sans"/>
        <family val="3"/>
      </rPr>
      <t xml:space="preserve">
Indicador Seleccionado</t>
    </r>
  </si>
  <si>
    <t xml:space="preserve">(Cantidad de microcréditos otorgados por las microfinancieras en el periodo/ Microcréditos otorgados en el año anterior)*100 </t>
  </si>
  <si>
    <r>
      <t xml:space="preserve">Porcentaje de recuperación de Cartera </t>
    </r>
    <r>
      <rPr>
        <i/>
        <sz val="10"/>
        <color indexed="30"/>
        <rFont val="Soberana Sans"/>
        <family val="3"/>
      </rPr>
      <t xml:space="preserve">
</t>
    </r>
  </si>
  <si>
    <t>(Monto recuperado de cartera en el periodo / Monto de cartera con vencimiento en el periodo)*100)</t>
  </si>
  <si>
    <t>Estratégico-Economía-Semestral</t>
  </si>
  <si>
    <r>
      <t>Monto promedio de microcrédito otorgado a beneficiarias por derrama crediticia</t>
    </r>
    <r>
      <rPr>
        <i/>
        <sz val="10"/>
        <color indexed="30"/>
        <rFont val="Soberana Sans"/>
        <family val="3"/>
      </rPr>
      <t xml:space="preserve">
</t>
    </r>
  </si>
  <si>
    <t>(Derrama crediticia de Fommur (t)/Cantidad de microcréditos otorgados en el año (t))</t>
  </si>
  <si>
    <t>Pesos</t>
  </si>
  <si>
    <t>B Apoyos no crediticios, parciales y temporales para instituciones de micro financiamiento (IMF) e intermediarios, para asistencia técnica y capacitación de su personal, para mejora de la atención de las mujeres rurales emprendedoras de bajos ingresos.</t>
  </si>
  <si>
    <r>
      <t>Porcentaje de participantes en talleres de capacitación con nivel de satisfacción alta y muy alta</t>
    </r>
    <r>
      <rPr>
        <i/>
        <sz val="10"/>
        <color indexed="30"/>
        <rFont val="Soberana Sans"/>
        <family val="3"/>
      </rPr>
      <t xml:space="preserve">
</t>
    </r>
  </si>
  <si>
    <t>Número de participantes de talleres de capacitación con niveles de de satisfacción alto o muy alto en el año (t)/Número total participantes de talleres de capacitación en el año (t))*100</t>
  </si>
  <si>
    <r>
      <t>Porcentaje de IMF que recibieron asistencias técnicas con nivel de satisfacción alta y muy alta</t>
    </r>
    <r>
      <rPr>
        <i/>
        <sz val="10"/>
        <color indexed="30"/>
        <rFont val="Soberana Sans"/>
        <family val="3"/>
      </rPr>
      <t xml:space="preserve">
</t>
    </r>
  </si>
  <si>
    <t>(Número de IMF que recibieron asistencia técnica con nivel de satisfacción alta o muy alta en el año (t)/Número total de IMF que recibieron asistencias técnicas en el año (t))*100</t>
  </si>
  <si>
    <t>Porcentaje de IMF con nivel de satisfacción alto y muy alto</t>
  </si>
  <si>
    <t>Gestión-Calidad-Anual</t>
  </si>
  <si>
    <t>C Apoyos no crediticios a las IMF otorgados para la adquisición de infraestructura para la modernización: software,hardware y mobiliario.</t>
  </si>
  <si>
    <r>
      <t>Cobertura de apoyos no crediticios para la  la adquisición de infraestructura para la modernización: software y hardware para las instituciones de microfinanciamiento (IMF)</t>
    </r>
    <r>
      <rPr>
        <i/>
        <sz val="10"/>
        <color indexed="30"/>
        <rFont val="Soberana Sans"/>
        <family val="3"/>
      </rPr>
      <t xml:space="preserve">
</t>
    </r>
  </si>
  <si>
    <t>Número total apoyos no crediticios parciales y temporales otorgados en año t para la  adquisición de infraestructura para la modernización: software, hardware, mobiliario y equipo de cómputo</t>
  </si>
  <si>
    <t>Apoyo</t>
  </si>
  <si>
    <t>A 1 Asignación de apoyos crediticios a las Instituciones de Microfinanciamiento e Intermediarios</t>
  </si>
  <si>
    <r>
      <t>Porcentaje de cumplimiento en el numero de Instituciones de Microfinanciamiento activas con respecto a la meta</t>
    </r>
    <r>
      <rPr>
        <i/>
        <sz val="10"/>
        <color indexed="30"/>
        <rFont val="Soberana Sans"/>
        <family val="3"/>
      </rPr>
      <t xml:space="preserve">
</t>
    </r>
  </si>
  <si>
    <t>(IMF activas en el período (t)/ IMF programadas para estar activas en el período (t)) *100</t>
  </si>
  <si>
    <t>B 2 Apoyos para talleres de capacitación ejecutados y asistencias técnicas</t>
  </si>
  <si>
    <r>
      <t>Porcentaje de cumplimiento de talleres de capacitación con respecto a la meta</t>
    </r>
    <r>
      <rPr>
        <i/>
        <sz val="10"/>
        <color indexed="30"/>
        <rFont val="Soberana Sans"/>
        <family val="3"/>
      </rPr>
      <t xml:space="preserve">
</t>
    </r>
  </si>
  <si>
    <t>(Número de talleres en el periodo (t)/ Número de talleres programados para el periodo (t)) *100</t>
  </si>
  <si>
    <r>
      <t>Porcentaje de cumplimiento en el número  de asistencias técnicas con respecto a la meta</t>
    </r>
    <r>
      <rPr>
        <i/>
        <sz val="10"/>
        <color indexed="30"/>
        <rFont val="Soberana Sans"/>
        <family val="3"/>
      </rPr>
      <t xml:space="preserve">
</t>
    </r>
  </si>
  <si>
    <t>(Número de asistencias técnicas en el periodo / Número de asistencias técnicas programadas para el periodo) *100</t>
  </si>
  <si>
    <t>C 3 Apoyos  destinados  a la adquisición de infraestructura para la modernización: software,hardware y mobiliario.</t>
  </si>
  <si>
    <r>
      <t xml:space="preserve">Porcentaje de cumplimiento en el número  de IMF que reciben  apoyos no crediticios  para la adquisición de infraestructura para la modernización: software y hardware,   con respecto a la meta </t>
    </r>
    <r>
      <rPr>
        <i/>
        <sz val="10"/>
        <color indexed="30"/>
        <rFont val="Soberana Sans"/>
        <family val="3"/>
      </rPr>
      <t xml:space="preserve">
</t>
    </r>
  </si>
  <si>
    <t>(Número de IMF que reciben  apoyos no crediticios  para la adquisición de infraestructura para la modernización: software y hardware en el período (t)/ Número de IMF programadas para recibir  apoyos no crediticios  para la adquisición de infraestructura para la modernización: software y hardware en el período (t))*100</t>
  </si>
  <si>
    <r>
      <t xml:space="preserve">Sostenibilidad de las microempresas de las mujeres rurales de bajos ingresos beneficiarias de microcrédito
</t>
    </r>
    <r>
      <rPr>
        <sz val="10"/>
        <rFont val="Soberana Sans"/>
        <family val="2"/>
      </rPr>
      <t xml:space="preserve"> Causa : La meta fue superada, debido a que los resultados de los proyectos emprendidos fueron satisfactorios para la mayoría de las microempresarias entrevistadas, lo que les ha permitido mantener abiertos sus negocios en las localidades o municipios donde habitan. Efecto: En la medida en que los proyectos continúen abiertos por más tiempo se estará en mejores posibilidades de que las acreditadas mejoren sus ingresos y su nivel de vida. Asimismo, también aumentan las posibilidades de ofrecer ocupaciones a familiares o a algunas personas cercanas a la familia. Otros Motivos:El resultado de este indicador es igual al que se reportó en la Cuenta Pública al cierre de 2012 (año en que se reportó por primera vez el resultado del mismo), por lo que las cifras en ambos casos están ahora alineadas. Es importante señalar que los resultados actualizados de este indicador se reportarán al cierre del ejercicio 2014 por ser de periodicidad bianual, cuando se cuente con los resultados de la nueva evaluación a efectuarse durante el transcurso del ejercicio 2014.</t>
    </r>
  </si>
  <si>
    <r>
      <t xml:space="preserve">Razón de creación de microempresas de las  mujeres rurales de bajos ingresos beneficiarias  de los micro créditos
</t>
    </r>
    <r>
      <rPr>
        <sz val="10"/>
        <rFont val="Soberana Sans"/>
        <family val="2"/>
      </rPr>
      <t xml:space="preserve"> Causa : La meta no fue alcanzada, debido a que algunas nuevas microcreditadas canalizaron los recursos recibidos a satisfacer necesidades personales o familiares (gastos de consumo), como por ejemplo: gastos médicos, alimentación, vestido o vivienda. Efecto: En la medida en que no se abran más microempresas, se limitarán las oportunidades de empleo y de autoempleo en las localidades y regiones donde habitan las microacreditadas, lo que afectará al crecimiento económico, el ingreso y consecuentemente el bienestar de la población que habita en estas localidades. Otros Motivos:El resultado de este indicador es igual al que se reportó en la Cuenta Pública al cierre de 2012 (año en que se reportó por primera vez el resultado del mismo), por lo que las cifras en ambos casos están ahora alineadas. Es importante señalar que los resultados actualizados de este indicador se reportarán al cierre del ejercicio 2014 por ser de periodicidad bianual, cuando se cuente con los resultados de la nueva evaluación a efectuarse durante el transcurso del ejercicio 2014.</t>
    </r>
  </si>
  <si>
    <r>
      <t xml:space="preserve">Porcentaje de variación interanual de microcréditos otorgados a emprendedoras de bajos ingresos.
</t>
    </r>
    <r>
      <rPr>
        <sz val="10"/>
        <rFont val="Soberana Sans"/>
        <family val="2"/>
      </rPr>
      <t xml:space="preserve"> Causa : En 2013, la Coordinación General del Programa Nacional de Financiamiento al Microempresario (CGPRONAFIM) de la Secretaría de Economía, a través del Fondo de Microfinanciamiento a Mujeres Rurales (FOMMUR), estableció el indicador de gestión "Porcentaje de variación interanual de microcréditos otorgados a emprendedoras de bajos ingresos", que mide la eficacia del número de microcréditos entregados a mujeres rurales por parte de las Instituciones de Microfinanciamiento acreditadas por FOMMUR. La meta aprobada fue la de otorgar 74.5%. Al cierre de año, la meta alcanzada fue de 160.0. Este comportamiento se explica principalmente por lo siguiente:    a) En el mes de enero de 2013, FOMMUR otorgó 24 líneas de crédito del ejercicio fiscal 2012 a 14 diferentes intermediarias por un monto de 222.9 millones de pesos, debido a que la autorización para la aplicación de los mismos sobrepasó los límites de tiempo establecidos. Por ello, el efecto de los microcréditos otorgados con estos recursos se reflejó en 2013, lo que impactó positivamente en el resultado final del ejercicio.    b) Se realizaron 39 eventos de promoción, con el propósito de dar a conocer las características y mecanismos de operación del programa a todas aquellas personas e instituciones interesadas en ser sujetas de crédito, así como para promover artesanías y otros productos elaborados por las microacreditadas.    c) Adicionalmente se implementó una serie de acciones encaminadas a mejorar sus resultados operativos, con el fin de que un número mayor de mujeres rurales cuenten con la asesoría y el apoyo financiero necesario para abrir sus proyectos productivos. Las acciones realizadas fueron las siguientes:    c.1) Se mejoraron los procedimientos de otorgamiento de créditos a las IMF, con el fin de agilizar el trámite para entregar de manera oportuna los recursos a las microfinancieras y a la población objetivo.      Efecto: Los beneficios económicos y sociales alcanzados con este indicador de componente, permitieron facilitar el acceso a los servicios financieros y no financieros que otorgan las IMF a emprendedores de bajos ingresos, con el fin de apoyar sus actividades productivas y contribuir a mejorar sus condiciones de vida y la de sus familias.    a) Durante 2013, el FOMMUR canalizó recursos a las microfinancieras por un importe de 462.1 millones de pesos, los que se distribuyeron a través de 238 990 microcréditos otorgados, en beneficio de 203 218 mujeres rurales, distribuidas en 1 315 municipios de 31 entidades federativas.    b) El monto promedio de los microcréditos ascendió a 6 278.9 pesos, lo que permitió a las mujeres rurales acreditadas contar con recursos para la realización de nuevos emprendimientos, acordes a sus posibilidades económicas.    c) En conjunto con las instituciones acreditadas, FOMMUR capacitó a 4 480 mujeres rurales, con el fin de prepararlas en temas relativos a finanzas básicas y a educación para el desarrollo. Con ello, las acreditadas contarán con mejores herramientas administrativas para el buen manejo de sus recursos monetarios, ampliando las posibilidades de éxito de su negocio.    d) Las acciones emprendidas por FOMMUR, permiten mejorar las condiciones económicas para elevar el nivel de vida de las microacreditadas y el de sus familias, toda vez que el microfinanciamiento bien aplicado ofrece la oportunidad de emprender nuevas actividades económicas, donde el autoempleo tiene un papel importante en beneficio no sólo de la propia microacreditada, sino también de la localidad donde habita, porque la generación de ingresos fomenta el desarrollo económico de la comunidad y consecuentemente el arraigo territorial. Otros Motivos:</t>
    </r>
  </si>
  <si>
    <r>
      <t xml:space="preserve">Porcentaje de recuperación de Cartera 
</t>
    </r>
    <r>
      <rPr>
        <sz val="10"/>
        <rFont val="Soberana Sans"/>
        <family val="2"/>
      </rPr>
      <t xml:space="preserve"> Causa : Al cierre del ejercicio 2013 la meta no fue alcanzada, debido a que algunas instituciones registraron atraso en el pago de sus obligaciones contractuales, lo que no permitió recuperar en tiempo el monto previsto. Efecto: El Programa corre el riesgo de no contar con disponibilidad de recursos económicos suficientes no sólo para la operación de 2014, sino también para una mayor expansión de las IMF en zonas prioritarias, lo que afectará invariablemente a la colocación crediticia y consecuentemente a nuevas microacreditadas. Otros Motivos:</t>
    </r>
  </si>
  <si>
    <r>
      <t xml:space="preserve">Monto promedio de microcrédito otorgado a beneficiarias por derrama crediticia
</t>
    </r>
    <r>
      <rPr>
        <sz val="10"/>
        <rFont val="Soberana Sans"/>
        <family val="2"/>
      </rPr>
      <t xml:space="preserve"> Causa : La meta  del monto promedio no fue cubierta, debido a que los proyectos realizados por las microacreditadas fueron de menor magnitud, lo que implicó que los importes solicitados fueran menores a los esperados durante el periodo. Efecto: Al otorgar montos promedio menores a los esperados, se dificulta la conservación y en algunos casos el fortalecimiento y crecimiento de los proyectos productivos de las microacreditadas. Otros Motivos:</t>
    </r>
  </si>
  <si>
    <r>
      <t xml:space="preserve">Porcentaje de participantes en talleres de capacitación con nivel de satisfacción alta y muy alta
</t>
    </r>
    <r>
      <rPr>
        <sz val="10"/>
        <rFont val="Soberana Sans"/>
        <family val="2"/>
      </rPr>
      <t xml:space="preserve"> Causa : La meta prevista tanto en el número de encuestados como en los niveles de satisfacción fue superada, debido a que más del 92% de las personas encuestadas se mostraron satisfechas con la utilidad percibida de los contenidos. Efecto: Las IMF se fortalecerán en diversos aspectos administrativos y financieros, lo que permitirá aumentar su eficacia en aspectos de control interno, estrategias para el crecimiento y principalmente en la administración de la cartera, toda vez que el crecimiento financiero de las instituciones y más intenso y perdurable cuando más profundos son los cimientos profesionales de las mismas. Otros Motivos:</t>
    </r>
  </si>
  <si>
    <r>
      <t xml:space="preserve">Porcentaje de IMF que recibieron asistencias técnicas con nivel de satisfacción alta y muy alta
</t>
    </r>
    <r>
      <rPr>
        <sz val="10"/>
        <rFont val="Soberana Sans"/>
        <family val="2"/>
      </rPr>
      <t xml:space="preserve"> Causa : La meta se superó entre otras razones, porque FOMMUR está ubicado por los directivos de las IMF como una de las principales fuentes de apoyo para sus acciones de Asistencia Técnica. Se encuentran muy satisfechos con atributos como la amabilidad y capacitación del personal; asimismo, están muy satisfechos con el profesionalismo, habilidad comunicativa, la experiencia del consultor, nivel de conocimiento, trato y atención de las empresas encargadas del desarrollo de las asistencias técnicas. Efecto: Cuando las asistencias técnicas cumplen con las expectativas de los representantes de las instituciones, se crean condiciones de mejora en la operación de las mismas, lo que impactará positivamente en la calidad del servicio y en la administración, en beneficio del programa FOMMUR y de las microacreditadas. Otros Motivos:</t>
    </r>
  </si>
  <si>
    <r>
      <t xml:space="preserve">Cobertura de apoyos no crediticios para la  la adquisición de infraestructura para la modernización: software y hardware para las instituciones de microfinanciamiento (IMF)
</t>
    </r>
    <r>
      <rPr>
        <sz val="10"/>
        <rFont val="Soberana Sans"/>
        <family val="2"/>
      </rPr>
      <t xml:space="preserve"> Causa : La meta fue alcanzada, debido al interés mostrado por algunas instituciones para este tipo de apoyo, toda vez que al ser de carácter no recuperable se convierte en un importante aliciente para renovar parte de su infraestructura administrativa. Efecto: En la medida en que un número mayor de microfinancieras cuenten con este tipo de apoyos, estarán en mejores condiciones de equipar en materia de hardware y software, lo que permitirá mejorar su manejo administrativo y operativo al contar con equipo actualizado de cómputo. Otros Motivos:</t>
    </r>
  </si>
  <si>
    <r>
      <t xml:space="preserve">Porcentaje de cumplimiento en el numero de Instituciones de Microfinanciamiento activas con respecto a la meta
</t>
    </r>
    <r>
      <rPr>
        <sz val="10"/>
        <rFont val="Soberana Sans"/>
        <family val="2"/>
      </rPr>
      <t xml:space="preserve"> Causa : La meta no fue alcanzada, debido a que tres microfinancieras observaron desfase en sus pagos, lo que motivó a que dejaran de formar parte de la cartera vigente. Efecto: Cuando las IMF pasan a  formar parte de la cartera vencida, implica para el programa un aumento en el riesgo de la recuperación de estos recursos, lo que afecta la disponibilidad de fondos para brindar más microfinanciamientos a nuevas microemprendedoras de diversas localidades o regiones. Otros Motivos:</t>
    </r>
  </si>
  <si>
    <r>
      <t xml:space="preserve">Porcentaje de cumplimiento de talleres de capacitación con respecto a la meta
</t>
    </r>
    <r>
      <rPr>
        <sz val="10"/>
        <rFont val="Soberana Sans"/>
        <family val="2"/>
      </rPr>
      <t xml:space="preserve"> Causa : No obstante que los procedimientos de operación de todos los apoyos no crediticios observaron adecuaciones conforme a la resolución del Comité Técnico, la meta esperada para este rubro fue alcanzada satisfactoriamente, debido al interés mostrado por algunas instituciones en cubrir áreas de oportunidad. Efecto: En la medida en que los representantes de las microfinancieras asistan a diversos cursos de capacitación, se fortalecerán sus capacidades en varios aspectos administrativos y financieros, lo que permitirá aumentar la eficiencia de las mismas en aspectos de control interno, estrategias de crecimiento y en la administración de la cartera. Otros Motivos:</t>
    </r>
  </si>
  <si>
    <r>
      <t xml:space="preserve">Porcentaje de cumplimiento en el número  de asistencias técnicas con respecto a la meta
</t>
    </r>
    <r>
      <rPr>
        <sz val="10"/>
        <rFont val="Soberana Sans"/>
        <family val="2"/>
      </rPr>
      <t xml:space="preserve"> Causa : La meta fue superada, debido a que en el último trimestre algunas microfinancieras no previstas mostraron interés en participar en este tipo de acciones, especialmente en asistencias para la realización de Indicadores del Desempeño Social y en asistencias para la Regulación. Efecto: En la medida en que las instituciones reciban las asistencias técnicas correspondientes, se crearán condiciones de mejora en la operación de las mismas, lo que impactará positivamente en la calidad del servicio, en beneficio del FOMMUR y de las microacreditadas. Otros Motivos:</t>
    </r>
  </si>
  <si>
    <r>
      <t xml:space="preserve">Porcentaje de cumplimiento en el número  de IMF que reciben  apoyos no crediticios  para la adquisición de infraestructura para la modernización: software y hardware,   con respecto a la meta 
</t>
    </r>
    <r>
      <rPr>
        <sz val="10"/>
        <rFont val="Soberana Sans"/>
        <family val="2"/>
      </rPr>
      <t xml:space="preserve"> Causa : La meta fue alcanzada, debido al interés mostrado por algunas instituciones para este tipo de apoyo, toda vez que al ser de carácter no recuperable se convierte en un importante aliciente para renovar parte de su infraestructura administrativa. Efecto: Las IMF que cuenten con este tipo de apoyo no crediticio, estarán en mejores condiciones de equiparse con hardware y software actualizados, lo que les permitirá llevar a cabo un mejor control en su manejo administrativo y operativo. Otros Motivos:</t>
    </r>
  </si>
  <si>
    <t>S020</t>
  </si>
  <si>
    <t>Fondo de Apoyo para la Micro, Pequeña y Mediana Empresa (Fondo PYME)</t>
  </si>
  <si>
    <t>200-Subsecretaría para la Pequeña y Mediana Empresa</t>
  </si>
  <si>
    <t>Contribuir al fortalecimeinto económico del territorio nacional a través de la consolidación de las empresas</t>
  </si>
  <si>
    <r>
      <t>Generación de empleos formales por el Fondo de Apoyo para la Micro, Pequeña y Mediana Empresa</t>
    </r>
    <r>
      <rPr>
        <i/>
        <sz val="10"/>
        <color indexed="30"/>
        <rFont val="Soberana Sans"/>
        <family val="3"/>
      </rPr>
      <t xml:space="preserve">
Indicador Seleccionado</t>
    </r>
  </si>
  <si>
    <t>(Suma del número de empleos formales generados por el Fondo PYME en trimestre t)</t>
  </si>
  <si>
    <t>Empleo</t>
  </si>
  <si>
    <t>Estratégico-Eficacia-Trimestral</t>
  </si>
  <si>
    <r>
      <t>Avance en el Índice de Competitividad en los Negocios</t>
    </r>
    <r>
      <rPr>
        <i/>
        <sz val="10"/>
        <color indexed="30"/>
        <rFont val="Soberana Sans"/>
        <family val="3"/>
      </rPr>
      <t xml:space="preserve">
</t>
    </r>
  </si>
  <si>
    <t>(Indice de Competitividad en los negocios t - Índice de Competitividad en los negocios t-1)</t>
  </si>
  <si>
    <t>Posiciones</t>
  </si>
  <si>
    <t>Las Micro, Pequeñas y Medianas Empresas son competitivas.</t>
  </si>
  <si>
    <r>
      <t xml:space="preserve">Porcentaje de creación de empresas </t>
    </r>
    <r>
      <rPr>
        <i/>
        <sz val="10"/>
        <color indexed="30"/>
        <rFont val="Soberana Sans"/>
        <family val="3"/>
      </rPr>
      <t xml:space="preserve">
</t>
    </r>
  </si>
  <si>
    <t>(Suma total de micro, pequeñas y medianas empresas constituidas como resultado de los apoyos otorgados por el Fondo PYME/Suma total de micro, pequeñas y medianas empresas programadas para crear como resultado de los apoyos otorgados por el Fondo PYME)*100</t>
  </si>
  <si>
    <r>
      <t>Porcentaje de Proyectos Innovadores</t>
    </r>
    <r>
      <rPr>
        <i/>
        <sz val="10"/>
        <color indexed="30"/>
        <rFont val="Soberana Sans"/>
        <family val="3"/>
      </rPr>
      <t xml:space="preserve">
</t>
    </r>
  </si>
  <si>
    <t>(Proyectos de innovación que mediante el Fondo PYME se realizan/proyectos innovadores programados para apoyar)*100</t>
  </si>
  <si>
    <t>A Recursos directos e indirectos otrogados a beneficiarios, organismos intermedios y vía convenios específicos</t>
  </si>
  <si>
    <r>
      <t>Porcentaje de MIPYMES  atendidas</t>
    </r>
    <r>
      <rPr>
        <i/>
        <sz val="10"/>
        <color indexed="30"/>
        <rFont val="Soberana Sans"/>
        <family val="3"/>
      </rPr>
      <t xml:space="preserve">
</t>
    </r>
  </si>
  <si>
    <t>(Número de MIPYMES atendidas/Número de MIPYMES programadas para atender)*100</t>
  </si>
  <si>
    <t>A 1 Emisión de convocatorias</t>
  </si>
  <si>
    <r>
      <t>Porcentaje de publicación oportuna de las convocatorias</t>
    </r>
    <r>
      <rPr>
        <i/>
        <sz val="10"/>
        <color indexed="30"/>
        <rFont val="Soberana Sans"/>
        <family val="3"/>
      </rPr>
      <t xml:space="preserve">
</t>
    </r>
  </si>
  <si>
    <t>(Número de convocatorias emitidas/Total de convocatorias programadas emitir)*100</t>
  </si>
  <si>
    <t>A 2 Nivel de Aplicacion de recursos</t>
  </si>
  <si>
    <r>
      <t>Aplicación de los recursos</t>
    </r>
    <r>
      <rPr>
        <i/>
        <sz val="10"/>
        <color indexed="30"/>
        <rFont val="Soberana Sans"/>
        <family val="3"/>
      </rPr>
      <t xml:space="preserve">
</t>
    </r>
  </si>
  <si>
    <t>((Recursos Ejercidos/Recursos Autorizados) (100))</t>
  </si>
  <si>
    <t>Gestión-Economía-Anual</t>
  </si>
  <si>
    <t>A 3 Supervision y seguimiento</t>
  </si>
  <si>
    <r>
      <t>Visitas de Supervisión a los proyectos apoyados con los recursos del Fondo PyME</t>
    </r>
    <r>
      <rPr>
        <i/>
        <sz val="10"/>
        <color indexed="30"/>
        <rFont val="Soberana Sans"/>
        <family val="3"/>
      </rPr>
      <t xml:space="preserve">
</t>
    </r>
  </si>
  <si>
    <t>((Visitas de supervisión realizadas/visitas de supervisión programadas) (100))</t>
  </si>
  <si>
    <t xml:space="preserve">  Visitas de Supervision</t>
  </si>
  <si>
    <t>A 4 Otorgar apoyos a Proyectos productivos</t>
  </si>
  <si>
    <r>
      <t>Proyectos Apoyados</t>
    </r>
    <r>
      <rPr>
        <i/>
        <sz val="10"/>
        <color indexed="30"/>
        <rFont val="Soberana Sans"/>
        <family val="3"/>
      </rPr>
      <t xml:space="preserve">
</t>
    </r>
  </si>
  <si>
    <t>(Proyectos aprobados/proyectos presentados)(100))</t>
  </si>
  <si>
    <r>
      <t xml:space="preserve">Generación de empleos formales por el Fondo de Apoyo para la Micro, Pequeña y Mediana Empresa
</t>
    </r>
    <r>
      <rPr>
        <sz val="10"/>
        <rFont val="Soberana Sans"/>
        <family val="2"/>
      </rPr>
      <t xml:space="preserve"> Causa : A partir de 2013, las MIPYMES pueden acceder directamente a los apoyos a través de las convocatorias públicas, sin necesidad de pasar por organismos intermedios, lo cual permitió beneficiar a un mayor número de empresas de lo originalmente planeado y por ende, contribuir a una mayor generación de empleos    De manera adicional se llevaron a cabo eventos para promover la cultura emprendedora.    Del 6 al 10 de agosto se realizó la Semana del Emprendedor en el Centro Banamex de la Ciudad de México, en donde se llevaron  a cabo 244 talleres y conferencias, 16 conferencias magistrales, 19 eventos, con una asistencia de 63 241 personas, de los cuales 18 235 fueron representantes de empresas, a quienes se les proporcionaron respuestas o soluciones a sus necesidades de apoyo.    Se aprobaron recursos por una cantidad de 232 millones de pesos, para apoyar a 25 proyectos de micro, pequeña y mediana empresas siniestradas por los efectos causados por los huracanes Ingrid y Manuel.      Efecto: Con los beneficios económicos y sociales alcanzados con este indicador de fin, se contribuyó con la generación de empleos formales, y conservar  las fuentes de trabajo en las micro, pequeña y mediana empresa del país.     A través del Sistema Nacional de Garantías se contribuyó a generar una derrama crediticia por 106 909 millones de pesos, en beneficio de más de 96 mil MIPYMES    En 2013, el Consejo Directivo del Fondo PYME autorizó recursos por un monto de 2 510 millones de pesos, para apoyar a 1 029 proyectos de las 22 convocatorias emitidas, que se complementaron con aportaciones de los gobiernos estatales y municipales, por un monto de 533 millones de pesos.    Con los recursos aportados por el Fondo PYME a micro, pequeñas y medianas empresas, se estima una generación de 79,225 empleos y una conservación de más de 1 millón 689 fuentes de trabajo. Los datos corresponden a los compromisos establecidos por las empresas apoyadas en las respectivas solicitudes de apoyo.     Otros Motivos:</t>
    </r>
  </si>
  <si>
    <r>
      <t xml:space="preserve">Porcentaje de creación de empresas 
</t>
    </r>
    <r>
      <rPr>
        <sz val="10"/>
        <rFont val="Soberana Sans"/>
        <family val="2"/>
      </rPr>
      <t xml:space="preserve"> Causa : Los proyectos aprobados estiman fomentar la creación de 4,632 empresas, de las cuales, 4,172 corresponderían a las convocatorias, mientras que 460 corresponderían a los proyectos estratégicos procedentes de las 32 entidades federativas.  Efecto: La creación de empresas estimada por los proyectos aprobados contribuirá a la creación de empleos y al desarrollo económico, regional y sectorial.  Otros Motivos:</t>
    </r>
  </si>
  <si>
    <r>
      <t xml:space="preserve">Porcentaje de Proyectos Innovadores
</t>
    </r>
    <r>
      <rPr>
        <sz val="10"/>
        <rFont val="Soberana Sans"/>
        <family val="2"/>
      </rPr>
      <t xml:space="preserve"> Causa : Las convocatorias 2.6  "Fomento a las iniciativas de innovación"  y 3.3 "Impulso a emprendedores y empresas a través del Programa de Emprendimiento de Alto Impacto" apoyarán en conjunto a un mayor número de proyectos de innovación de MIPYMES de lo originalmente planeado. Ello contribuirá a fomentar el desarrollo tecnológico en las MIPYMES apoyadas.              Efecto: El mayor número de proyectos de innovación apoyados contribuirá al desarrollo tecnológico de las MIPYMES. Otros Motivos:</t>
    </r>
  </si>
  <si>
    <r>
      <t xml:space="preserve">Porcentaje de MIPYMES  atendidas
</t>
    </r>
    <r>
      <rPr>
        <sz val="10"/>
        <rFont val="Soberana Sans"/>
        <family val="2"/>
      </rPr>
      <t xml:space="preserve"> Causa : La realización de dos eventos magnos organizados por el Instituto Nacional del Emprendedor en el presente ejercicio fiscal permitió la atención de más de 28 mil empresas, lo cual aunado a la operación del Sistema Nacional de Garantías permitió exceder la meta originalmente establecida. Además, en agosto del presente inició operaciones la Red de Apoyo  al Emprendedor, la cual vinculará a emprendedores y MIPYMES con los programas de apoyo públicos y privados que operan para su beneficio a nivel federal y estatal. A diciembre de 2013, se realizaron 1,953 diagnósticos de gestión empresarial y en el caso de los proyectos aprobados de MIPYMES siniestradas, éstos beneficiarían a más de 25 mil empresas, que no habían sido originalmente consideradas. Efecto: A través de los eventos magnos organizados las empresas pudieron acceder a talleres de capacitación, así como obtener información relevante para la toma de decisiones. En el caso de las empresas siniestradas, los apoyos otorgados contribuyen a su reactivación económica y productiva.  Otros Motivos:</t>
    </r>
  </si>
  <si>
    <r>
      <t xml:space="preserve">Porcentaje de publicación oportuna de las convocatorias
</t>
    </r>
    <r>
      <rPr>
        <sz val="10"/>
        <rFont val="Soberana Sans"/>
        <family val="2"/>
      </rPr>
      <t xml:space="preserve"> Causa : Se rebaso la meta original de 19 convocatorias publicadas, debido a que el 8 de octubre se publicaron en el DOF tres convocatorias adicionales, referentes a la creación y fortalecimiento de las Redes Estatales de Puntos para mover a México, fortalecimiento institucional de Entidades de Fomento de los Gobiernos Estatales y desarrollo de la oferta exportable.  Efecto: La emisión de un mayor número de convocatorias contribuyó a beneficiar a un mayor número de MIPYMESl.  Otros Motivos:</t>
    </r>
  </si>
  <si>
    <r>
      <t xml:space="preserve">Aplicación de los recursos
</t>
    </r>
    <r>
      <rPr>
        <sz val="10"/>
        <rFont val="Soberana Sans"/>
        <family val="2"/>
      </rPr>
      <t xml:space="preserve"> Causa : Se cubrió el 100% del presupuesto modificado.  Efecto: Los recursos destinados al programa se ejercieron en su totalidad. Otros Motivos:</t>
    </r>
  </si>
  <si>
    <r>
      <t xml:space="preserve">Visitas de Supervisión a los proyectos apoyados con los recursos del Fondo PyME
</t>
    </r>
    <r>
      <rPr>
        <sz val="10"/>
        <rFont val="Soberana Sans"/>
        <family val="2"/>
      </rPr>
      <t xml:space="preserve"> Causa : A principios de año, el INADEM llevó a cabo una profunda redefinición de las Reglas de Operación del Fondo PYME, con el fin de fortalecer entre otros aspectos, la fase de seguimiento y cierre de los proyectos aprobados. Por lo que con el fin de medir de una manera más eficiente los impactos de los proyectos aprobados de ejercicios anteriores, se llevaron a cabo más visitas de supervisión de las originalmente planeadas.  Efecto: El mayor número de visitas de supervisión realizadas contribuye al cumplimiento de las metas comprometidas por los beneficiarios en las respectivas solicitudes de apoyo. Otros Motivos:</t>
    </r>
  </si>
  <si>
    <r>
      <t xml:space="preserve">Proyectos Apoyados
</t>
    </r>
    <r>
      <rPr>
        <sz val="10"/>
        <rFont val="Soberana Sans"/>
        <family val="2"/>
      </rPr>
      <t xml:space="preserve"> Causa : La publicación de tres convocatorias adicionales en octubre del presente, contribuyó a incrementar el número de proyectos aprobados estimados originalmente. El total de proyectos aprobados asciende a 941 de los cuales 843 corresponden a las 22 convocatorias, 74 pertenecen a proyectos estratégicos procedentes de las 32 entidades federativas y 24 son proyectos de asignación directa para MIPYMES siniestradas. Efecto: El mayor número de proyectos aprobados beneficia a un mayor número de empresas, contribuyendo a incrementar su productividad y crecimiento. Otros Motivos:</t>
    </r>
  </si>
  <si>
    <t>S021</t>
  </si>
  <si>
    <t>Programa Nacional de Financiamiento al Microempresario</t>
  </si>
  <si>
    <t>Contribuir a mejorar las condiciones de inserción de los emprendedores de bajos ingresos al sistema productivo nacional mediante el apoyo que se les brinda para crear y desarrollar microempresas.</t>
  </si>
  <si>
    <r>
      <t>Sostenibilidad de las microempresas de los hombres y mujeres  de bajos ingresos beneficiarios de microcrédito</t>
    </r>
    <r>
      <rPr>
        <i/>
        <sz val="10"/>
        <color indexed="30"/>
        <rFont val="Soberana Sans"/>
        <family val="3"/>
      </rPr>
      <t xml:space="preserve">
</t>
    </r>
  </si>
  <si>
    <t xml:space="preserve"> Emprendedores beneficiarios que recibieron al menos un microcrédito en el período (t-1) que presentan en el período (t) un ingreso mayor al ingreso en el período (t-1)/Emprendedores beneficiarios que recibieron un microcrédito en el período (t-1)*100</t>
  </si>
  <si>
    <t>Emprendedores de bajos ingresos crean y desarrollan microempresas a través del acceso al financiamiento</t>
  </si>
  <si>
    <r>
      <t>Razón de creación de microempresas de los hombres y mujeres de bajos ingresos beneficiarios  de los micro créditos</t>
    </r>
    <r>
      <rPr>
        <i/>
        <sz val="10"/>
        <color indexed="30"/>
        <rFont val="Soberana Sans"/>
        <family val="3"/>
      </rPr>
      <t xml:space="preserve">
</t>
    </r>
  </si>
  <si>
    <t>(Número de emprendedores de bajos ingresos que crearon microempresas beneficiarios de al menos un microcrédito en el año (t)/Número de emprendedores de bajos ingresos que recibieron un microcrédito en el año (t))*100</t>
  </si>
  <si>
    <t>A Apoyos crediticios otorgados a Instituciones de Micro Financiamiento (IMF) destinados a sustentar líneas de micro créditos a emprendedores de bajos ingresos.</t>
  </si>
  <si>
    <r>
      <t>Monto promedio de microcrédito otorgado a beneficiarios por derrama crediticia</t>
    </r>
    <r>
      <rPr>
        <i/>
        <sz val="10"/>
        <color indexed="30"/>
        <rFont val="Soberana Sans"/>
        <family val="3"/>
      </rPr>
      <t xml:space="preserve">
</t>
    </r>
  </si>
  <si>
    <t>(Derrama crediticia de FINAFIM (t)/Cantidad de microcréditos otorgados en el año (t))</t>
  </si>
  <si>
    <r>
      <t>Porcentaje de variación interanual de microcréditos otorgados a emprendedores de bajos ingresos.</t>
    </r>
    <r>
      <rPr>
        <i/>
        <sz val="10"/>
        <color indexed="30"/>
        <rFont val="Soberana Sans"/>
        <family val="3"/>
      </rPr>
      <t xml:space="preserve">
Indicador Seleccionado</t>
    </r>
  </si>
  <si>
    <r>
      <t>Cobertura de mujeres beneficiarias</t>
    </r>
    <r>
      <rPr>
        <i/>
        <sz val="10"/>
        <color indexed="30"/>
        <rFont val="Soberana Sans"/>
        <family val="3"/>
      </rPr>
      <t xml:space="preserve">
</t>
    </r>
  </si>
  <si>
    <t xml:space="preserve">(Número de mujeres emprendedoras  de bajos ingresos beneficiados con microcréditos en el periodo/ Número total de emprendedores de bajos ingresos beneficiarios de  micro crédito en el periodo)*100  </t>
  </si>
  <si>
    <t>Estratégico-Eficacia-Semestral</t>
  </si>
  <si>
    <t>B Apoyos no crediticios parciales y temporales para las instituciones de micro financiamiento (IMF) e intermediarios para asistencia técnica y capacitación de su personal para mejora de la atención de emprendedores de bajos ingresos.</t>
  </si>
  <si>
    <t>C Apoyos parciales no crediticios para las IMF e intermediarios, destinados para la adquisición de infraestructura para la modernización:software, hardware y mobiliario, y, la consolidación de una cobertura geográfica que permita una atención de los emprendedores de bajos ingresos cerca de su localidad</t>
  </si>
  <si>
    <r>
      <t>Apertura de sucursales, extensiones y agencias por las instituciones de microfinanciamiento (IMF)</t>
    </r>
    <r>
      <rPr>
        <i/>
        <sz val="10"/>
        <color indexed="30"/>
        <rFont val="Soberana Sans"/>
        <family val="3"/>
      </rPr>
      <t xml:space="preserve">
</t>
    </r>
  </si>
  <si>
    <t>Número de sucursales, agencias y extensiones de las IMF abiertas en año t</t>
  </si>
  <si>
    <t xml:space="preserve">  Sucursales, agencias y extensiones</t>
  </si>
  <si>
    <r>
      <t>Cobertura de apoyos no crediticios para la  adquisición de infraestructura para la modernización: software y  hardware para las instituciones de microfinanciamiento (IMF)</t>
    </r>
    <r>
      <rPr>
        <i/>
        <sz val="10"/>
        <color indexed="30"/>
        <rFont val="Soberana Sans"/>
        <family val="3"/>
      </rPr>
      <t xml:space="preserve">
</t>
    </r>
  </si>
  <si>
    <t xml:space="preserve">Número total apoyos parciales otorgados en año t para la  adquisición de infraestructura para la modernización: software y hardware. </t>
  </si>
  <si>
    <t>A 1 Asignación de apoyos crediticios a las Instituciones de Microfinanciamiento (IMF)</t>
  </si>
  <si>
    <r>
      <t>Porcentaje de cumplimiento en el número de Instituciones de Microfinanciamiento (IMF) e intermediarios activos con respecto a la meta</t>
    </r>
    <r>
      <rPr>
        <i/>
        <sz val="10"/>
        <color indexed="30"/>
        <rFont val="Soberana Sans"/>
        <family val="3"/>
      </rPr>
      <t xml:space="preserve">
</t>
    </r>
  </si>
  <si>
    <t>B 2 Apoyos para talleres</t>
  </si>
  <si>
    <r>
      <t>Porcentaje de cumplimiento en el número de talleres de capacitación con respecto a la meta</t>
    </r>
    <r>
      <rPr>
        <i/>
        <sz val="10"/>
        <color indexed="30"/>
        <rFont val="Soberana Sans"/>
        <family val="3"/>
      </rPr>
      <t xml:space="preserve">
</t>
    </r>
  </si>
  <si>
    <t>(Número de talleres de capacitacion en el periodo / Número de talleres de capacitacion programados para el periodo) *100</t>
  </si>
  <si>
    <t>B 3 Apoyos para Asistencia Técnica</t>
  </si>
  <si>
    <r>
      <t>Porcentaje de cumplimiento en el número de asistencias técnicas</t>
    </r>
    <r>
      <rPr>
        <i/>
        <sz val="10"/>
        <color indexed="30"/>
        <rFont val="Soberana Sans"/>
        <family val="3"/>
      </rPr>
      <t xml:space="preserve">
</t>
    </r>
  </si>
  <si>
    <t>C 4 Apoyos destinados a la apertura de sucursales, agencias y extensiones.</t>
  </si>
  <si>
    <r>
      <t>Porcentaje de cumplimiento en la apertura de sucursales, agencias y extensiones con respecto a la meta.</t>
    </r>
    <r>
      <rPr>
        <i/>
        <sz val="10"/>
        <color indexed="30"/>
        <rFont val="Soberana Sans"/>
        <family val="3"/>
      </rPr>
      <t xml:space="preserve">
</t>
    </r>
  </si>
  <si>
    <t>(Número de aperturas de sucursales, agencias y extensiones (t)/ Número de aperturas de sucursales, agencias y extensiones  programados (t)) *100</t>
  </si>
  <si>
    <t>C 5 Apoyos destinados a la adquisición de infraestructura para la modernización: software, hardware y mobiliario.</t>
  </si>
  <si>
    <r>
      <t>Porcentaje de cumplimiento en el número de apoyos no crediticios parciales y temporales a Instituciones de Microfinanciamiento para la adquisición de infraestructura con respecto a la meta.</t>
    </r>
    <r>
      <rPr>
        <i/>
        <sz val="10"/>
        <color indexed="30"/>
        <rFont val="Soberana Sans"/>
        <family val="3"/>
      </rPr>
      <t xml:space="preserve">
</t>
    </r>
  </si>
  <si>
    <t>(Número total apoyos no crediticios para la  adquisición de infraestructura otorgados en año t / Número total apoyos no creticios  programados para la  adquisición de infraestructura otorgados en año t) * 100</t>
  </si>
  <si>
    <r>
      <t xml:space="preserve">Sostenibilidad de las microempresas de los hombres y mujeres  de bajos ingresos beneficiarios de microcrédito
</t>
    </r>
    <r>
      <rPr>
        <sz val="10"/>
        <rFont val="Soberana Sans"/>
        <family val="2"/>
      </rPr>
      <t xml:space="preserve"> Causa : La meta no fue alcanzada, debido a que algunos microacreditados canalizaron los recursos recibidos a satisfacer necesidades personales o familiares (consumo), como por ejemplo: gastos médicos, alimentación, vestido o vivienda. Efecto: En la medida en que los microacreditados no fortalezcan sus negocios, afectarán sus ingresos y consecuentemente el bienestar de ellos y el de sus familias.  Otros Motivos:El resultado de este indicador es igual al que se reportó en la Cuenta Pública al cierre de 2012 (año en que se reportó por primera vez el resultado del mismo), por lo que las cifras en ambos casos están ahora alineadas. Es importante señalar que los resultados actualizados de este indicador se reportarán al cierre del ejercicio 2014 por ser de periodicidad bianual, cuando se cuente con los resultados de la nueva evaluación a efectuarse durante el transcurso del ejercicio 2014.</t>
    </r>
  </si>
  <si>
    <r>
      <t xml:space="preserve">Razón de creación de microempresas de los hombres y mujeres de bajos ingresos beneficiarios  de los micro créditos
</t>
    </r>
    <r>
      <rPr>
        <sz val="10"/>
        <rFont val="Soberana Sans"/>
        <family val="2"/>
      </rPr>
      <t xml:space="preserve"> Causa : La meta no fue alcanzada, debido a que algunos microacreditados canalizaron los recursos recibidos a gastos personales o familiares (consumo), como por ejemplo: gastos médicos, alimentación, vestido o vivienda. Efecto: En la medida en que no se abran más microempresas, se limitarán las oportunidades de empleo y de autoempleo en las localidades y regiones donde habitan los microacreditados, lo que afectará al crecimiento económico, el ingreso y consecuentemente el bienestar de la población que habita en esas localidades. Otros Motivos:El resultado de este indicador es igual al que se reportó en la Cuenta Pública al cierre de 2012 (año en que se reportó por primera vez el resultado del mismo), por lo que las cifras en ambos casos están ahora alineadas. Es importante señalar que los resultados actualizados de este indicador se reportarán al cierre del ejercicio 2014 por ser de periodicidad bianual, cuando se cuente con los resultados de la nueva evaluación a efectuarse durante el transcurso del ejercicio 2014.</t>
    </r>
  </si>
  <si>
    <r>
      <t xml:space="preserve">Monto promedio de microcrédito otorgado a beneficiarios por derrama crediticia
</t>
    </r>
    <r>
      <rPr>
        <sz val="10"/>
        <rFont val="Soberana Sans"/>
        <family val="2"/>
      </rPr>
      <t xml:space="preserve"> Causa : La meta no fue cubierta, debido a que los proyectos realizados por los microacreditados fueron de menor magnitud, lo que implicó que los importes solicitados fueran menores a los esperados durante el periodo. Efecto: Al otorgar montos promedio más bajos a los esperados, se dificulta la conservación y en algunos casos el fortalecimiento y crecimiento de los proyectos productivos de los microacreditados. Otros Motivos:</t>
    </r>
  </si>
  <si>
    <r>
      <t xml:space="preserve">Porcentaje de variación interanual de microcréditos otorgados a emprendedores de bajos ingresos.
</t>
    </r>
    <r>
      <rPr>
        <sz val="10"/>
        <rFont val="Soberana Sans"/>
        <family val="2"/>
      </rPr>
      <t xml:space="preserve"> Causa : En 2013, la Coordinación General del Programa Nacional de Financiamiento al Microempresario (CGPRONAFIM) de la Secretaría de Economía, a través del Fideicomiso del Programa Nacional de Financiamiento al Microempresario (FINAFIM), estableció el indicador de gestión ¿Porcentaje de variación interanual de microcréditosotorgados a emprendedores de bajos ingresos¿, que mide la eficacia del número de microcréditos entregados a emprendedores de bajos ingresos por parte de las Instituciones de Microfinanciamiento acreditadas por el FINAFIM. La meta aprobada fue la de otorgar un 96.4 % (equivalentes a 679 695 microcréditos). Al cierre del año la meta alcanzada fue de 83.8% (equivalente a 569 375 microcréditos entregados), lo que significó un porcentaje de cumplimiento de 86.9% respecto de la meta aprobada. Este comportamiento se explica por lo siguiente:   ¿La demanda de créditos por parte de la población objetivo fue menor derivado del aumento en la oferta de servicios financieros por parte de instituciones financieras privadas que anteriormente no operaban en localidades y municipios que con anterioridad eran atendidos por el programa.   El número de instituciones financieras privadas se ha incrementado, entre las que destacan: Banco Compartamos, Banco Azteca, entre otros, lo que afectó negativamente la colocación crediticia de algunas IMF vinculadas a FINAFIM.   ¿Los altos niveles de inseguridad en algunas zonas del país, inhibieron la demanda de financiamiento para el emprendimiento de nuevos proyectos productivos   ¿La constante rotación de personal de algunas IMF, se convirtió en un factor que afectó significativamente la operación crediticia y operativa de las instituciones, debido a la pérdida de continuidad en el trabajo realizado por los promotores de crédito en la organización de grupos solidarios en diferentes municipios y localidades, así como en las actividades relativas a la cobranza de los microfinanciamientos, principalmente.    Efecto: Los beneficios económicos y sociales alcanzados con este indicador de actividad, permitieron medir el número de microcréditos otorgados a los emprendedores de bajos ingresos, con el fin de apoyar sus actividades productivas y contribuir a mejorar sus condiciones de vida y la de sus familias, lo que significa que en la medida en que el resultado del indicador sea mejor, más personas recibirán algún microfinanciamiento y estarán en mejores condiciones de elevar su ingreso.   ¿Durante el periodo enero-diciembre 2013, el FINAFIM canalizó recursos a las microfinancieras por un importe de 663.5 millones de pesos, los que se distribuyeron a través de 569 375 microcréditos, en beneficio de 486 500 personas habitantes de zonas urbanas, semiurbanas y rurales distribuidas en 1 ,741 municipios de las 32 entidades federativas del país.   Del total de emprendedores beneficiados, 399 713 fueron mujeres (82.2%); y 86 787 fueron acreditados del género masculino (17.8%). Esta diferencia de género nos indica que el programa es más atractivo para las mujeres en la creación o desarrollo de emprendimientos productivos y nos dice también que el creciente impacto de las acreditadas en el ingreso familiar es cada vez más importante, principalmente en aquellos sectores de menores ingresos.   El monto promedio de microcrédito ascendió a 6 174.0 pesos, lo que permitió a la población objetivo contar con recursos para la realización de nuevos emprendimientos, acordes a sus posibilidades de pago.   En conjunto con las instituciones acreditadas, PRONAFIM capacitó a 11 467 personas de la población objetivo, con el fin de prepararlas en temas relativos a finanzas básicas y a educación para el desarrollo. Con ello, los acreditados contarán con mejores herramientas administrativas para el buen manejo de sus recursos monetarios, ampliando las posibilidades de éxito de sus negocios    Otros Motivos:</t>
    </r>
  </si>
  <si>
    <r>
      <t xml:space="preserve">Cobertura de mujeres beneficiarias
</t>
    </r>
    <r>
      <rPr>
        <sz val="10"/>
        <rFont val="Soberana Sans"/>
        <family val="2"/>
      </rPr>
      <t xml:space="preserve"> Causa : El porcentaje de participación del género femenino fue mayor al esperado, debido a su interés por participar en el ingreso familiar a través de actividades generadas por el microcrédito. Efecto: En la medida en que las mujeres participen de manera más activa en el ingreso familiar, las posibilidades de bienestar aumentan, debido a que el ingreso generado por ellas complementa de manera muy importante a los recursos económicos del padre de familia, en beneficio de todos los integrantes de la misma. Otros Motivos:</t>
    </r>
  </si>
  <si>
    <r>
      <t xml:space="preserve">Porcentaje de recuperación de Cartera 
</t>
    </r>
    <r>
      <rPr>
        <sz val="10"/>
        <rFont val="Soberana Sans"/>
        <family val="2"/>
      </rPr>
      <t xml:space="preserve"> Causa : La meta fue superada, debido a que algunas microfinancieras realizaron pagos pendientes de 2012 durante los primeros tres meses del ejercicio fiscal 2013, lo que impactó positivamente en el resultado final del indicador. Efecto: Una mayor recuperación financiera generará más disponibilidad de recursos a colocar, lo que permitirá que un número mayor de personas tenga acceso a los microfinanciamientos y consecuentemente a mayores posibilidades de abrir o de consolidar sus proyectos productivos. Otros Motivos:</t>
    </r>
  </si>
  <si>
    <r>
      <t xml:space="preserve">Porcentaje de participantes en talleres de capacitación con nivel de satisfacción alta y muy alta
</t>
    </r>
    <r>
      <rPr>
        <sz val="10"/>
        <rFont val="Soberana Sans"/>
        <family val="2"/>
      </rPr>
      <t xml:space="preserve"> Causa : La meta prevista en los niveles de satisfacción fue superada, debido a que más del 95% de las personas encuestadas se mostraron satisfechas con la utilidad percibida de los contenidos. Efecto: Las IMF se fortalecerán en diversos aspectos administrativos y financieros, lo que permitirá aumentar su eficacia en aspectos de control interno, estrategias para el crecimiento y principalmente en la administración de la cartera, toda vez que el crecimiento financiero de las instituciones es más intenso y perdurable cuando más profundos son los cimientos profesionales de las mismas. Otros Motivos:</t>
    </r>
  </si>
  <si>
    <r>
      <t xml:space="preserve">Porcentaje de IMF que recibieron asistencias técnicas con nivel de satisfacción alta y muy alta
</t>
    </r>
    <r>
      <rPr>
        <sz val="10"/>
        <rFont val="Soberana Sans"/>
        <family val="2"/>
      </rPr>
      <t xml:space="preserve"> Causa : La meta no fue alcanzada, debido a que las personas encuestadas manifestaron las siguientes  áreas oportunidad: a) El tiempo de la asistencia debió ser más largo para abarcar más temas; b) Los trámites, requisitos y  tiempo de reembolso son muy extensos; y c) No hay continuidad hacia un siguiente nivel de asistencia. Sin embargo el 85% de entrevistados mencionó que ya implementó los conocimientos adquiridos de la asistencia y señalaron que el FINAFIM es la principal fuente de apoyo a las microfinancieras en esta materia. Efecto: En la medida en que se mejoren los contenidos con más niveles de asistencia, se crearán condiciones de mejora en la operación de las instituciones, lo que afectará positivamente la calidad en el servicio y la administración de las mismas, en beneficio del PRONAFIM y de los microacreditados. Otros Motivos:</t>
    </r>
  </si>
  <si>
    <r>
      <t xml:space="preserve">Apertura de sucursales, extensiones y agencias por las instituciones de microfinanciamiento (IMF)
</t>
    </r>
    <r>
      <rPr>
        <sz val="10"/>
        <rFont val="Soberana Sans"/>
        <family val="2"/>
      </rPr>
      <t xml:space="preserve"> Causa : Las expectativas del periodo no fueron alcanzadas, debido principalmente a los siguientes factores: a) La demanda para este tipo de apoyo no fue la esperada; b) Algunas IMF que solicitaron apoyo económico para la apertura de sucursales no cumplieron con todos los requerimientos establecidos en las reglas de operación; y c) Las adecuaciones sugeridas por el Comité Técnico en lo referente a los apoyos no recuperables, aplazaron la autorización de algunas solicitudes para este tipo de apoyo. Efecto: El no cumplir con la meta planeada afecta el nivel de cobertura del programa, a través de la red de microfinancieras, y consecuentemente los niveles de crédito que se otorgan a las personas con deseos de abrir o consolidar un proyecto productivo. Otros Motivos:</t>
    </r>
  </si>
  <si>
    <r>
      <t xml:space="preserve">Cobertura de apoyos no crediticios para la  adquisición de infraestructura para la modernización: software y  hardware para las instituciones de microfinanciamiento (IMF)
</t>
    </r>
    <r>
      <rPr>
        <sz val="10"/>
        <rFont val="Soberana Sans"/>
        <family val="2"/>
      </rPr>
      <t xml:space="preserve"> Causa : La meta fue superada, debido al interés mostrado por algunas instituciones para este tipo de apoyo, toda vez que al ser de carácter no recuperable se convierte en un importante aliciente para renovar parte de su infraestructura administrativa. Efecto: En la medida en que un número mayor de microfinancieras cuenten con este tipo de apoyos, estarán en mejores condiciones de equiparse en materia de hardware y software, lo que permitirá mejorar su manejo administrativo y operativo al contar con equipo actualizado de cómputo. Otros Motivos:</t>
    </r>
  </si>
  <si>
    <r>
      <t xml:space="preserve">Porcentaje de cumplimiento en el número de Instituciones de Microfinanciamiento (IMF) e intermediarios activos con respecto a la meta
</t>
    </r>
    <r>
      <rPr>
        <sz val="10"/>
        <rFont val="Soberana Sans"/>
        <family val="2"/>
      </rPr>
      <t xml:space="preserve"> Causa : Al cierre del ejercicio fiscal 2013 no se alcanzaron avances suficientes en este indicador, debido básicamente a dos factores: a) algunas IMF que observaron desfase en sus pagos pasaron a formar parte de la cartera vencida; y b) otras microfinancieras que ya no solicitaron apoyos financieros al programa, dejaron de ser instituciones activas. Efecto: El efecto de no cumplir con la meta establecida implica una menor derrama crediticia por parte de las IMF, lo que no permite beneficiar a más personas con posibilidades de ser sujetas de crédito y de emprender nuevos proyectos productivos. Otros Motivos:</t>
    </r>
  </si>
  <si>
    <r>
      <t xml:space="preserve">Porcentaje de cumplimiento en el número de talleres de capacitación con respecto a la meta
</t>
    </r>
    <r>
      <rPr>
        <sz val="10"/>
        <rFont val="Soberana Sans"/>
        <family val="2"/>
      </rPr>
      <t xml:space="preserve"> Causa : No obstante que los procedimientos de operación de todos los apoyos no crediticios observaron adecuaciones conforme a la resolución del Comité Técnico, la meta esperada para este rubro fue alcanzada satisfactoriamente, debido al interés mostrado por algunas instituciones en cubrir áreas de oportunidad. Efecto: En la medida en que los representantes de las microfinancieras asistan a diversos cursos de capacitación, se fortalecerán sus capacidades en varios aspectos administrativos y financieros, lo que permitirá aumentar la eficiencia de las mismas en aspectos de control interno, estrategias de crecimiento y en la administración de la cartera. Otros Motivos:</t>
    </r>
  </si>
  <si>
    <r>
      <t xml:space="preserve">Porcentaje de cumplimiento en el número de asistencias técnicas
</t>
    </r>
    <r>
      <rPr>
        <sz val="10"/>
        <rFont val="Soberana Sans"/>
        <family val="2"/>
      </rPr>
      <t xml:space="preserve"> Causa : La meta fue superada, debido a que en el último trimestre algunas microfinancieras no previstas mostraron interés en participar en este tipo de acciones, especialmente en asistencias para la realización de Indicadores del Desempeño Social y en asistencias para la Regulación. Efecto: En la medida de que las instituciones reciban las asistencias técnicas correspondientes, se crearán condiciones de mejora en la operación de las mismas, lo que impactará positivamente en la calidad del servicio, en beneficio del PRONAFIM y de los microacreditados. Otros Motivos:</t>
    </r>
  </si>
  <si>
    <r>
      <t xml:space="preserve">Porcentaje de cumplimiento en la apertura de sucursales, agencias y extensiones con respecto a la meta.
</t>
    </r>
    <r>
      <rPr>
        <sz val="10"/>
        <rFont val="Soberana Sans"/>
        <family val="2"/>
      </rPr>
      <t xml:space="preserve"> Causa : Las expectativas del periodo no fueron alcanzadas, debido principalmente a los siguientes factores: a) la demanda para este tipo de apoyo no fue la esperada; b) algunas IMF que solicitaron apoyo económico para la apertura de sucursales, no cumplieron con todos los requerimientos establecidos en las reglas de operación; y c) las adecuaciones sugeridas por el Comité Técnico en lo referente a los apoyos no recuperables, aplazaron la autorización de algunas solicitudes para este tipo de apoyo. Efecto: El no cumplir con la meta planeada afecta el nivel de cobertura del programa, a través de la red de microfinancieras, y consecuentemente los niveles de crédito que se otorgan a las personas con deseos de abrir o consolidar un proyecto productivo. Otros Motivos:</t>
    </r>
  </si>
  <si>
    <r>
      <t xml:space="preserve">Porcentaje de cumplimiento en el número de apoyos no crediticios parciales y temporales a Instituciones de Microfinanciamiento para la adquisición de infraestructura con respecto a la meta.
</t>
    </r>
    <r>
      <rPr>
        <sz val="10"/>
        <rFont val="Soberana Sans"/>
        <family val="2"/>
      </rPr>
      <t xml:space="preserve"> Causa : La meta fue superada, debido al interés mostrado por algunas instituciones para este tipo de apoyo, toda vez que al ser de carácter no recuperable se convierte en un importante aliciente para renovar parte de su infraestructura administrativa. Efecto: Las IMF que cuenten con este tipo de apoyo no crediticio, estarán en mejores condiciones de equiparse con hardware y software actualizados, lo que les permitirá llevar a cabo un mejor control de su manejo administrativo y operativo. Otros Motivos:</t>
    </r>
  </si>
  <si>
    <t>S151</t>
  </si>
  <si>
    <t>Programa para el Desarrollo de la Industria del Software (PROSOFT)</t>
  </si>
  <si>
    <t>410-Dirección General de Innovación, Servicios y Comercio Interior</t>
  </si>
  <si>
    <t>11 - Sectores económicos competitivos</t>
  </si>
  <si>
    <t>Contribuir al crecimiento del Sector de Tecnologías de la Información en México.</t>
  </si>
  <si>
    <r>
      <t>Tasa de crecimiento del Sector de Tecnologías de la Información (TI) de México</t>
    </r>
    <r>
      <rPr>
        <i/>
        <sz val="10"/>
        <color indexed="30"/>
        <rFont val="Soberana Sans"/>
        <family val="3"/>
      </rPr>
      <t xml:space="preserve">
</t>
    </r>
  </si>
  <si>
    <t>((Valor de mercado  del sector de Tecnologías de la Información en el año t /Valor de mercado  del sector de Tecnologías de la Información en el año t-1)-1)*100</t>
  </si>
  <si>
    <t>Tasa de variación</t>
  </si>
  <si>
    <t>El sector de TI y servicios relacionados cuenta con el capital humano con las capacidades requeridas para elevar su productividad y competitividad</t>
  </si>
  <si>
    <r>
      <t>Número de empleos-proyecto mejorados</t>
    </r>
    <r>
      <rPr>
        <i/>
        <sz val="10"/>
        <color indexed="30"/>
        <rFont val="Soberana Sans"/>
        <family val="3"/>
      </rPr>
      <t xml:space="preserve">
Indicador Seleccionado</t>
    </r>
  </si>
  <si>
    <t>Sumatoria de los empleos mejorados de los proyectos apoyados por el PROSOFT en el período t</t>
  </si>
  <si>
    <t>A Apoyo a las empresas del sector de TI y servicios relacionados para incrementar su capital humano</t>
  </si>
  <si>
    <r>
      <t>Empleo potencial de los proyectos apoyados</t>
    </r>
    <r>
      <rPr>
        <i/>
        <sz val="10"/>
        <color indexed="30"/>
        <rFont val="Soberana Sans"/>
        <family val="3"/>
      </rPr>
      <t xml:space="preserve">
</t>
    </r>
  </si>
  <si>
    <t>Sumatoria de los empleos comprometidos por los beneficiarios en las solicitudes de apoyo.</t>
  </si>
  <si>
    <t>A 1 Evaluación oportuna de las solicitudes de apoyo y su dictaminación por parte del Consejo Directivo</t>
  </si>
  <si>
    <r>
      <t xml:space="preserve">Días promedio para la evaluación y dictaminación de proyectos   </t>
    </r>
    <r>
      <rPr>
        <i/>
        <sz val="10"/>
        <color indexed="30"/>
        <rFont val="Soberana Sans"/>
        <family val="3"/>
      </rPr>
      <t xml:space="preserve">
</t>
    </r>
  </si>
  <si>
    <t xml:space="preserve">(Sumatoria (Fecha de dictaminación - Fecha de recepción de solicitud completa)en el periodo t )/Número total de proyectos aprobados en el periodo t </t>
  </si>
  <si>
    <t>Día</t>
  </si>
  <si>
    <t>A 2 Coordinación con Organismos Promotores, academia, iniciativa privada y otros aportantes para potenciar los apoyos del PROSOFT</t>
  </si>
  <si>
    <r>
      <t xml:space="preserve">Potenciación de la inversión del Programa   </t>
    </r>
    <r>
      <rPr>
        <i/>
        <sz val="10"/>
        <color indexed="30"/>
        <rFont val="Soberana Sans"/>
        <family val="3"/>
      </rPr>
      <t xml:space="preserve">
</t>
    </r>
  </si>
  <si>
    <t xml:space="preserve">Monto total de los recursos comprometidos en los proyectos aprobados en el año t / Monto de los recursos aportados por el PROSOFT en proyectos aprobados en el año t   </t>
  </si>
  <si>
    <t>Factor de potenciación</t>
  </si>
  <si>
    <t>Gestión-Economía-Semestral</t>
  </si>
  <si>
    <t>A 3 Ministración oportuna de los recursos a los organismos promotores y los beneficiarios de los proyectos</t>
  </si>
  <si>
    <r>
      <t xml:space="preserve">Días promedio para la ministración de recursos a los organismos promotores </t>
    </r>
    <r>
      <rPr>
        <i/>
        <sz val="10"/>
        <color indexed="30"/>
        <rFont val="Soberana Sans"/>
        <family val="3"/>
      </rPr>
      <t xml:space="preserve">
</t>
    </r>
  </si>
  <si>
    <t>Sumatoria (Fecha en que la Instancia Ejecutora recibe las facturas o recibos oficiales por parte de los organismos promotores-Fecha de entrega de los recursos a los organismos promotores)/Número de pagos realizados por la instancia ejecutora a los organismos promotores</t>
  </si>
  <si>
    <t>A 4 Atención adecuada y eficiente a los solicitantes de apoyo al PROSOFT</t>
  </si>
  <si>
    <r>
      <t>Nivel de satisfacción de los solicitantes de apoyo al PROSOFT</t>
    </r>
    <r>
      <rPr>
        <i/>
        <sz val="10"/>
        <color indexed="30"/>
        <rFont val="Soberana Sans"/>
        <family val="3"/>
      </rPr>
      <t xml:space="preserve">
</t>
    </r>
  </si>
  <si>
    <t>Promedio de la calificación otorgada por los beneficiarios y no beneficiarios (solicitantes de apoyo) del PROSOFT sobre el grado de satisfacción respecto a la operación del programa, expresada en un valor entre 0 y 10</t>
  </si>
  <si>
    <t>calificación entre 0 y 10</t>
  </si>
  <si>
    <t>A 5 Otorgamiento oportuno de recursos presupuestarios</t>
  </si>
  <si>
    <r>
      <t>Cumplimiento en el otorgamiento de los recursos presupuestarios</t>
    </r>
    <r>
      <rPr>
        <i/>
        <sz val="10"/>
        <color indexed="30"/>
        <rFont val="Soberana Sans"/>
        <family val="3"/>
      </rPr>
      <t xml:space="preserve">
</t>
    </r>
  </si>
  <si>
    <t>Total de los recursos otorgados a los proyectos en el período t/ Total de los recursos asignados al PROSOFT en el período t</t>
  </si>
  <si>
    <t>Gestión-Eficiencia-Anual</t>
  </si>
  <si>
    <r>
      <t xml:space="preserve">Tasa de crecimiento del Sector de Tecnologías de la Información (TI) de México
</t>
    </r>
    <r>
      <rPr>
        <sz val="10"/>
        <rFont val="Soberana Sans"/>
        <family val="2"/>
      </rPr>
      <t xml:space="preserve"> Causa : El crecimiento del sector de TI calculado por Select 2013 fue de 5.1%, debido  principalmente a que el sector sufrió durante el primer trimestre una desaceleración como consecuencia del panorama de la economía en su conjunto, donde las estimaciones de crecimiento se fueron en decremento durante todo el periodo. Sin embargo, la parte del sector que impactó en su mayoría el crecimiento obtenido fue en actividades como:  desarrolladores de software a la medida (12.2%), centros de datos (11.4%) y fabricantes de software (8.7%) todos ellos con tasas de crecimiento en promedio mayores a la meta planteada, incluso, los servicios en la nube, a pesar de ser una parte pequeña del sector, tienen un 60% de crecimiento en el periodo. No obstante, el crecimiento acumulado de 2013 registra una contracción de los siguientes sectores: revendedores de valor agregado, VAR (-19.6%), detallistas (-12.8%), integradores de redes (-8.5%), y a los distribuidores de sistemas personales (-5.7%), lo que explica la disminución de la meta planteada. Se espera que el sector de TI se recupere en el 2014 volviendo a tasas a doble dígito.  El cálculo se hace en pesos, y la variación se explica por el tipo de cambio utilizado para 2012 y 2013. Efecto: Al cuarto trimestre se tiene una cifra estimada del 5.1% de crecimiento en el sector de TI, es decir, casi un 57% de cumplimiento respecto a la meta establecida para 2013. Otros Motivos:Cabe mencionar que este indicador es una estimación de los datos considerando que en enero 2014 se tienen sólo cifras definitivas para el cierre del tercer trimestre 2013.</t>
    </r>
  </si>
  <si>
    <r>
      <t xml:space="preserve">Número de empleos-proyecto mejorados
</t>
    </r>
    <r>
      <rPr>
        <sz val="10"/>
        <rFont val="Soberana Sans"/>
        <family val="2"/>
      </rPr>
      <t xml:space="preserve"> Causa : La Dirección General de Innovación, Servicios y Comercio Interior, estableció para 2013, el indicador estratégico ¿Número de empleos-proyecto mejorados¿, que mide la eficacia del número de empleos relacionados con proyectos del Programa que son apoyados para recibir capacitación y/o certificación para especializar al capital humano del sector de Tecnologías de la Información. La meta aprobada fue la de generar 25 mil empleos-proyectos mejorados en el sector TI. Al final del año la meta alcanzada fue de    33 059 empleos-proyecto mejorados en el sector del software y servicios relacionados con TI, lo que significó un porcentaje de cumplimiento de 132.2 % con relación a la meta programada. Este comportamiento se explica por lo siguiente:   ¿Una de las grandes brechas para promover la productividad y alcance del sector de TI es la especialización del capital humano, que es el principal insumo para la producción de servicios de este tipo. Por esa razón, este indicador de capacitación y certificación se coloca como prioritario dentro de la lógica del Programa pues es un problema central relacionado con las problemáticas de competitividad del sector de TI. En la medida que el sector puede tener acceso a recursos humanos especializados, puede ser más productivo, puede generar innovación y puede contribuir a los efectos de productividad en otros sectores de la economía. Ello, aunado a la reducción de brechas y mejoramiento del entorno de negocios, contribuyen a mejorar la competitividad del sector de TI, que es el objetivo general del PROSOFT.   ¿El PROSOFT es un programa que está sujeto a la demanda de proyectos, cada año, se lanza una convocatoria y los solicitantes pueden requerir diversos elementos de la cartera de apoyos que existen en las Reglas de Operación. La demanda de este tipo de apoyos para 2013 fue superior a lo esperado de años previos.         Efecto: Con los beneficios económicos y sociales alcanzados con este indicador de propósito, se coadyuvó a estimular la calidad y cantidad de empleos de alto valor agregado del sector de TI y servicios relacionados a través del apoyo otorgado a proyectos que promueven el desarrollo y consolidación de las empresas del sector TI.    ¿Se estima que la cartera de capital humano disponible y ocupado del sector de TI, asciende a 625 000 personas. Para disminuir las deficiencias relacionadas con un cambio inadecuado en los planes de estudio y los altos costos de las capacitaciones y las certificaciones para las empresas, el PROSOFT apoya a las empresas para capacitar y certificar personas del sector de TI con el fin de promover su especialización. Además de ello, se creó una iniciativa público-privada conocida como MéxicoFIRST que está orientada a reducir los costos de las certificaciones en el mercado ofreciéndolas a precios competitivos y que ofrece un 80.0% de eficiencia terminal en estas capacitaciones que hasta 2013 se apoya con recursos de la fuente de financiamiento 2, es decir, del préstamo del Banco Mundial cuyo contrato mandata este rubro como estrategia primordial.    ¿La iniciativa de MexicoFIRST, ha sido bien evaluada por diversas instancias, siempre generando resultados positivos, tanto para las personas que toman cursos de capacitación y/o certificación que tienden a mejorar su ingreso, como por las empresas usuarias de este servicio que tienden a mejorar su productividad. La Evaluación de Impacto realizada en 2012-2013 por ITAM menciona que las empresas del sector tienen una buena percepción (74.0% buena o muy buena) de MéxicoFIRST y prácticamente todas las empresas, apoyadas y no apoyadas por el Programa, conocen la iniciativa. Adicionalmente, el estudio de Estrategia de seguimiento de egresados de MéxicoFIRST y medición del impacto del programa realizada por Select Estrategia, S.C. menciona que los egresados, después de la certificación registran una mejoa. Otros Motivos:</t>
    </r>
  </si>
  <si>
    <r>
      <t xml:space="preserve">Empleo potencial de los proyectos apoyados
</t>
    </r>
    <r>
      <rPr>
        <sz val="10"/>
        <rFont val="Soberana Sans"/>
        <family val="2"/>
      </rPr>
      <t xml:space="preserve"> Causa : Como resultado de la Convocatoria al término del cuarto trimestre de 2013, se comprometió la creación de empleos, considerando los empleos potenciales de usuarios de TI, de 249 proyectos aprobados.  Sin embargo, debido al incumplimiento de Organismos Promotores, se cancelaron 23 proyectos que incluían la generación de 1,808 empleos y con ese recurso se aprobaron otros proyectos con un impacto en empleo menor al de los proyectos cancelados.  Adicionalmente, debido a la demanda de proyectos ante el PROSOFT se apoyó un mayor número de certificaciones organizacionales que implicarán un incremento en la calidad y madurez de los servicios de las empresas de TI apoyadas. Efecto: Se tuvo una disminución de la meta de empleos potenciales pero se aumentó el número de certificaciones organizacionales apoyadas por el Fondo PROSOFT. Otros Motivos:</t>
    </r>
  </si>
  <si>
    <r>
      <t xml:space="preserve">Días promedio para la evaluación y dictaminación de proyectos   
</t>
    </r>
    <r>
      <rPr>
        <sz val="10"/>
        <rFont val="Soberana Sans"/>
        <family val="2"/>
      </rPr>
      <t xml:space="preserve"> Causa : Al cierre del segundo semestre de 2013 y como resultado de la Convocatoria se aprobaron 249 proyectos, que fueron evaluados y dictaminados antes de terminar el periodo establecido, lo cual se traduce en un aumento de 176% de efectividad en dicho indicador.       Cabe señalar que por ser un año de cambio de gobierno el programa redujo el tiempo de las convocatorias porque fueron publicadas las Reglas de Operación (ROP) en febrero de 2013.       Efecto: La meta establecida se cumplió en un 176% de efectividad en los días promedio para la evaluación y dictaminación de los proyectos 2013. Otros Motivos:</t>
    </r>
  </si>
  <si>
    <r>
      <t xml:space="preserve">Potenciación de la inversión del Programa   
</t>
    </r>
    <r>
      <rPr>
        <sz val="10"/>
        <rFont val="Soberana Sans"/>
        <family val="2"/>
      </rPr>
      <t xml:space="preserve"> Causa : El PROSOFT apoyó 249 proyectos en dicho periodo, de los cuales el 56% están relacionados con el proyecto de Banco Mundial que tienen porcentajes de apoyo mayores aprobados por el Consejo Directivo, por ser proyectos de mayor alcance y cobertura. No obstante, si se considerara sólo el recurso previsto para la fuente de financiamiento 1 (los recursos fiscales) la potenciación alcanzada es de 3.1 en donde el porcentaje de apoyo para los proyectos estándar es del 25% y el financiamiento del resto de los proyectos proviene tanto de las entidades federativas como de los beneficiarios del Fondo.  Efecto: Al cierre segundo semestre de 2013 se alcanzó el 100% con respecto a la meta establecida para el indicador. Otros Motivos:</t>
    </r>
  </si>
  <si>
    <r>
      <t xml:space="preserve">Días promedio para la ministración de recursos a los organismos promotores 
</t>
    </r>
    <r>
      <rPr>
        <sz val="10"/>
        <rFont val="Soberana Sans"/>
        <family val="2"/>
      </rPr>
      <t xml:space="preserve"> Causa :   Se efectuó en tiempo y forma la ministración del recurso PROSOFT durante el ejercicio fiscal 2013 Efecto: Al cierre del cuarto trimestre se cumplió la meta del indicador en un 150% debido a que la ministración se efectuó en tiempo y forma. Otros Motivos:</t>
    </r>
  </si>
  <si>
    <r>
      <t xml:space="preserve">Nivel de satisfacción de los solicitantes de apoyo al PROSOFT
</t>
    </r>
    <r>
      <rPr>
        <sz val="10"/>
        <rFont val="Soberana Sans"/>
        <family val="2"/>
      </rPr>
      <t xml:space="preserve"> Causa : El PROSOFT es evaluado durante el último trimestre del año en en cuanto a la satisfacción sobre la calidad de los servicios proporcionados tanto por la Instancia Ejecutora (DGISCI) como por los Organismos Promotores del programa y sobre la percepción del impacto considerando a todos los solicitantes del Fondo, de tal manera que se mejore la operación del Programa.  Efecto: Al cierre del cuarto trimestre de 2013 se obtuvo la calificación de 8.2 cumpliendo con el indicador en un 103% respecto a la meta establecida. Esto se debe principalmente a la percepción del impacto. Otros Motivos:</t>
    </r>
  </si>
  <si>
    <r>
      <t xml:space="preserve">Cumplimiento en el otorgamiento de los recursos presupuestarios
</t>
    </r>
    <r>
      <rPr>
        <sz val="10"/>
        <rFont val="Soberana Sans"/>
        <family val="2"/>
      </rPr>
      <t xml:space="preserve"> Causa :  El PROSOFT aprobó 249 proyectos en 2013 por un monto de 691 millones de pesos Efecto: Al cierre del cuarto trimestre de 2013 se ejerció  al 99.8% del recurso otorgado para el PROSOFT derivado de un reintegro al cierre del cuarto trimestre de dos proyectos, motivo por el cual no fue posible asignar ese recurso a otro proyecto. Otros Motivos:</t>
    </r>
  </si>
  <si>
    <t>S220</t>
  </si>
  <si>
    <t>Programa para el Desarrollo de las Industrias de Alta Tecnología (PRODIAT)</t>
  </si>
  <si>
    <t>415-Dirección General de Industrias Pesadas y de Alta Tecnología</t>
  </si>
  <si>
    <t>Incremento en el índice de productividad de los beneficiarios de PRODIAT</t>
  </si>
  <si>
    <r>
      <t>Incremento en el índice de productividad de los beneficiarios de PRODIAT</t>
    </r>
    <r>
      <rPr>
        <i/>
        <sz val="10"/>
        <color indexed="30"/>
        <rFont val="Soberana Sans"/>
        <family val="3"/>
      </rPr>
      <t xml:space="preserve">
</t>
    </r>
  </si>
  <si>
    <t xml:space="preserve">(Crecimiento en el índice de productividad laboral de las personas físicas y morales que beneficia PRODIAT pertenecientes al subsector s -  Crecimiento en el índice de productividad laboral promedio de todo el subsector s)    </t>
  </si>
  <si>
    <t>Estratégico-Eficacia-Trianual</t>
  </si>
  <si>
    <t>Porcentaje de beneficiarios de PRODIAT (personas físicas y morales)  que ven incrementados las ventas, la producción, el empleo y el valor agregado de su actividad.</t>
  </si>
  <si>
    <r>
      <t>Porcentaje de beneficiarios de PRODIAT (personas físicas y morales)  que ven incrementados las ventas, la producción, el empleo y el valor agregado de su actividad .</t>
    </r>
    <r>
      <rPr>
        <i/>
        <sz val="10"/>
        <color indexed="30"/>
        <rFont val="Soberana Sans"/>
        <family val="3"/>
      </rPr>
      <t xml:space="preserve">
</t>
    </r>
  </si>
  <si>
    <t>{Número de personas físicas y morales del Grupo 1 que han recibido apoyos de PRODIAT y que cumplieron con alguna de las siguientes condiciones a partir del año inmediato posterior a la conclusión de los proyectos apoyados: 1. Aumentó el ingreso por ventas por personal ocupado, o aumentó el índice de volumen físico de la producción, o aumentó el valor agregado por personal ocupado o aumentó el número de personas promedio en su establecimiento, y 2. No disminuyó el ingreso por ventas por personal ocupado y 3. No disminuyó el índice de volumen físico de la producción y 4. No disminuyó el valor agregado por personal ocupado y 5. No disminuyó el número de personas promedio en su establecimiento}/{Número total de personas físicas y morales del Grupo 1 que han recibido apoyos de PRODIAT}</t>
  </si>
  <si>
    <t>Estratégico-Economía-Anual</t>
  </si>
  <si>
    <t>A Porcentaje de capital humano capacitado en los proyectos apoyados por PRODIAT.</t>
  </si>
  <si>
    <r>
      <t>Porcentaje de capital humano capacitado en los proyectos apoyados por PRODIAT</t>
    </r>
    <r>
      <rPr>
        <i/>
        <sz val="10"/>
        <color indexed="30"/>
        <rFont val="Soberana Sans"/>
        <family val="3"/>
      </rPr>
      <t xml:space="preserve">
Indicador Seleccionado</t>
    </r>
  </si>
  <si>
    <t xml:space="preserve">(Número de personas que finalizaron su capacitación y certificación con desempeño bueno y excelente/Número de personas que recibieron apoyo para capacitación y certificación)*100 </t>
  </si>
  <si>
    <t>Estratégico-Calidad-Trimestral</t>
  </si>
  <si>
    <t>B Porcentaje de proyectos de asistencia técnica que cuentan con procesos de innovación y alta especialización preparados para su operación.</t>
  </si>
  <si>
    <r>
      <t>Porcentaje de proyectos de asistencia técnica que cuentan con procesos de innovación y alta especialización preparados para su operación.</t>
    </r>
    <r>
      <rPr>
        <i/>
        <sz val="10"/>
        <color indexed="30"/>
        <rFont val="Soberana Sans"/>
        <family val="3"/>
      </rPr>
      <t xml:space="preserve">
</t>
    </r>
  </si>
  <si>
    <t>(Número de proyectos apoyados de asistencia técnica con procesos de innovación y de alta especialización implementados, o con planes de acción en corto o mediano plazo/Número de proyectos de asistencia técnica asociada a la innovación y alta especialización apoyados)*100.</t>
  </si>
  <si>
    <t>C Porcentaje de proyectos con apoyos para información especializada para la mejora de la producción y comercialización que se publica en Internet.</t>
  </si>
  <si>
    <r>
      <t>Porcentaje de proyectos con apoyos para información especializada para la mejora de la producción y comercialización que se publica en Internet.</t>
    </r>
    <r>
      <rPr>
        <i/>
        <sz val="10"/>
        <color indexed="30"/>
        <rFont val="Soberana Sans"/>
        <family val="3"/>
      </rPr>
      <t xml:space="preserve">
</t>
    </r>
  </si>
  <si>
    <t>(Informes especializados para la mejora de la producción y la comercialización publicados y considerados útiles)/(Informes especializados para la mejora de la producción y la comercialización publicados) *100.</t>
  </si>
  <si>
    <t>D Porcentaje de apoyos para la adquisición de nuevas tecnologías útiles.</t>
  </si>
  <si>
    <r>
      <t>Porcentaje de apoyos para la adquisición de nuevas tecnologías útiles.</t>
    </r>
    <r>
      <rPr>
        <i/>
        <sz val="10"/>
        <color indexed="30"/>
        <rFont val="Soberana Sans"/>
        <family val="3"/>
      </rPr>
      <t xml:space="preserve">
</t>
    </r>
  </si>
  <si>
    <t>(Apoyos para la adopción de nuevas tecnologías devengados que resultaron útiles)/(Apoyos para la adopción de nuevas tecnologías otorgados) * 100.</t>
  </si>
  <si>
    <t>Estratégico-Calidad-Semestral</t>
  </si>
  <si>
    <t>E Porcentaje de nuevas patentes y marcas en los proyectos apoyados por PRODIAT de productos comercializados.</t>
  </si>
  <si>
    <r>
      <t>Porcentaje de nuevas patentes y marcas en los proyectos apoyados por PRODIAT de productos comercializados.</t>
    </r>
    <r>
      <rPr>
        <i/>
        <sz val="10"/>
        <color indexed="30"/>
        <rFont val="Soberana Sans"/>
        <family val="3"/>
      </rPr>
      <t xml:space="preserve">
</t>
    </r>
  </si>
  <si>
    <t>(Número de patentes y marcas registradas registradas con apoyos de PRODIATque derivaron en un bien comercializado)/(Número de patentes y marcas registradas con apoyos de PRODIAT) *100.</t>
  </si>
  <si>
    <t>A 1 Porcentaje de solicitudes de apoyo entregadas a PRODIAT que cumplen con los requisitos de elegibilidad estipulados en las Reglas de Operación vigentes.</t>
  </si>
  <si>
    <r>
      <t>Porcentaje de solicitudes de apoyo entregadas a PRODIAT que cumplen con los requisitos de elegibilidad estipulados en las Reglas de Operación vigentes.</t>
    </r>
    <r>
      <rPr>
        <i/>
        <sz val="10"/>
        <color indexed="30"/>
        <rFont val="Soberana Sans"/>
        <family val="3"/>
      </rPr>
      <t xml:space="preserve">
</t>
    </r>
  </si>
  <si>
    <t>(Solicitudes de apoyo recibidas que cumplen con los requisitos de elegibilidad establecidos en las ROP vigentes correspondientes al semestre inmediato anterior/Total de solicitudes recibidas correspondientes al semestre inmediato anterior) * 100.</t>
  </si>
  <si>
    <t>A 2 Porcentaje de solicitudes de apoyo que cumplieron con los requisitos de elegibilidad y fueron dictaminadas por el Consejo Directivo de PRODIAT.</t>
  </si>
  <si>
    <r>
      <t>Porcentaje de solicitudes de apoyo que cumplieron con los requisitos de elegibilidad y fueron dictaminadas por el Consejo Directivo de PRODIAT.</t>
    </r>
    <r>
      <rPr>
        <i/>
        <sz val="10"/>
        <color indexed="30"/>
        <rFont val="Soberana Sans"/>
        <family val="3"/>
      </rPr>
      <t xml:space="preserve">
</t>
    </r>
  </si>
  <si>
    <t>(Solicitudes de apoyos verificadas para recibir apoyo en el semestre inmediato anterior/Total de solicitudes dictaminadas en el semestre inmediato anterior)*100.</t>
  </si>
  <si>
    <t>A 3 Porcentaje de sesiones celebradas del Consejo Directivo de PRODIAT, que se llevaron a cabo en tiempo y forma.</t>
  </si>
  <si>
    <r>
      <t>Porcentaje de sesiones celebradas del Consejo Directivo de PRODIAT, que se llevaron a cabo en tiempo y forma.</t>
    </r>
    <r>
      <rPr>
        <i/>
        <sz val="10"/>
        <color indexed="30"/>
        <rFont val="Soberana Sans"/>
        <family val="3"/>
      </rPr>
      <t xml:space="preserve">
</t>
    </r>
  </si>
  <si>
    <t>(Número de sesiones ordinarias del Consejo Directivo de PRODIAT celebradas en tiempo, de acuerdo con lo estipulado en las ROP vigentes /Total de sesiones del Consejo Directivo, que ya debieron celebrarse de acuerdo con lo estipulado en las ROP vigentes) *100.</t>
  </si>
  <si>
    <t>A 4 Porcentaje de proyectos apoyados en tiempo y forma.</t>
  </si>
  <si>
    <r>
      <t>Porcentaje de proyectos apoyados en tiempo y forma.</t>
    </r>
    <r>
      <rPr>
        <i/>
        <sz val="10"/>
        <color indexed="30"/>
        <rFont val="Soberana Sans"/>
        <family val="3"/>
      </rPr>
      <t xml:space="preserve">
</t>
    </r>
  </si>
  <si>
    <t>(Número de proyectos que fueron aprobados para recibir apoyo y obtuvieron los recursos en el plazo establecido de acuerdo a las ROP vigentes, en el semestre inmediato anterior/Número de proyectos que fueron aprobados para recibir apoyo y que cumplieron con las condiciones para recibir los recursos económicos) * 100.</t>
  </si>
  <si>
    <t>A 5 Porcentaje de proyectos apoyados en curso que han sido monitoreados y supervisados a tiempo.</t>
  </si>
  <si>
    <r>
      <t>Porcentaje de proyectos apoyados en curso que han sido monitoreados y supervisados a tiempo.</t>
    </r>
    <r>
      <rPr>
        <i/>
        <sz val="10"/>
        <color indexed="30"/>
        <rFont val="Soberana Sans"/>
        <family val="3"/>
      </rPr>
      <t xml:space="preserve">
</t>
    </r>
  </si>
  <si>
    <t>(Número de proyectos apoyados en curso que han sido supervisados y monitoreados en tiempo/Número de proyectos apoyados en curso)*100.</t>
  </si>
  <si>
    <t>A 6 Porcentaje de proyectos apoyados finalizados con reporte de seguimiento actualizado.</t>
  </si>
  <si>
    <r>
      <t>Porcentaje de proyectos apoyados finalizados con reporte de seguimiento actualizado.</t>
    </r>
    <r>
      <rPr>
        <i/>
        <sz val="10"/>
        <color indexed="30"/>
        <rFont val="Soberana Sans"/>
        <family val="3"/>
      </rPr>
      <t xml:space="preserve">
</t>
    </r>
  </si>
  <si>
    <t>(Número de proyectos apoyados finalizados con reporte de seguimiento actualizado en el semestre anterior/Número total de proyectos apoyados finalizados)*100</t>
  </si>
  <si>
    <r>
      <t xml:space="preserve">Incremento en el índice de productividad de los beneficiarios de PRODIAT
</t>
    </r>
    <r>
      <rPr>
        <sz val="10"/>
        <rFont val="Soberana Sans"/>
        <family val="2"/>
      </rPr>
      <t xml:space="preserve"> Causa : Frecuencia de medición Trianual, se reportan valores meta, requeridos por el formato (sistema), la información de 2013, estará disponible hasta concluir 2015 Efecto: Frecuencia de medición Trianual, se reportan valores meta, requeridos por el formato (sistema), la información de 2013, estará disponible hasta concluir 2015 Otros Motivos:El sistema no debería requerir la captura de avance de un indicador con frecuencia trianual, la información de 2013, estará disponible hasta concluir 2015</t>
    </r>
  </si>
  <si>
    <r>
      <t xml:space="preserve">Porcentaje de beneficiarios de PRODIAT (personas físicas y morales)  que ven incrementados las ventas, la producción, el empleo y el valor agregado de su actividad .
</t>
    </r>
    <r>
      <rPr>
        <sz val="10"/>
        <rFont val="Soberana Sans"/>
        <family val="2"/>
      </rPr>
      <t xml:space="preserve"> Causa : De 2010 a 2012, el Consejo Directivo acordó apoyar a 30 proyectos, de los cuáles a un beneficiario la empresa, Robert Bosh se le solicitó el reintegro total del recursos por no desarrollar el proyecto y a INA no se firmo Convenio de Colaboración por no contar con la CLUNI, por lo que 29 proyectos recibieron apoyos del PRODIAT. - De los 29 proyectos, 27 ya presentaron su reporte final y 2 aún no concluyen. - No se incluye los 34 proyectos apoyados en 2013, en razón de que aún no cierran sus proyectos y no es posible conocer su impacto.  Efecto: Se cumplieron metas. Otros Motivos:</t>
    </r>
  </si>
  <si>
    <r>
      <t xml:space="preserve">Porcentaje de capital humano capacitado en los proyectos apoyados por PRODIAT
</t>
    </r>
    <r>
      <rPr>
        <sz val="10"/>
        <rFont val="Soberana Sans"/>
        <family val="2"/>
      </rPr>
      <t xml:space="preserve"> Causa : Para 2013, la Dirección General de Industrias Pesadas y de Alta Tecnología, estableció el indicador estratégico ¿Porcentaje de capital humano capacitado en los proyectos apoyados por PRODIAT¿, que mide la calidad del capital humano capacitado en los proyectos apoyados por PRODIAT. La meta programada fue la de capacitar al 85.0 % del número de personas que recibieron apoyo para capacitación y certificación en la aplicación industrial de productos y procesos innovadores., al final del año la meta alcanzada fue 461.8 %, lo que observó un porcentaje de cumplimiento de 543.3 % con relación a la meta aprobada. Este comportamiento se explica por lo siguiente:  ¿La variación observada en el cumplimiento de la meta de este indicador, se debe principalmente a que durante el periodo superaron las expectativas con una demanda inesperada de cursos para la formación y capacitación especializada de capital humano en la aplicación industrial de productos y procesos innovadores.  ¿El Consejo Directivo del PRODIAT acordó dar apoyo para 785 personas en durante 2013.  ¿También fue resultado de un incremento en el ejercicio respecto del anterior, en monto 182.2% y el doble de proyectos apoyados que en 2012, con el fin de contribuir al logro del fin del programa.  ¿Otro aspecto a considerar fue que la meta absoluta de personal a capacitar por los proyectos apoyados por el PRODIAT originalmente consideraba 170 personas alcanzando un resultado absoluto de 785 personas capacitadas en el periodo indicado que corresponde a un incremento de 461.8% con respecto al valor base.  ¿Los beneficiarios de los proyectos del PRODIAT consideraron más relevante la atención a fallas de mercado relacionadas con costos hundidos dirigidos a la Asistencia técnica, capacitación y otros servicios relacionados para reducir el riesgo y los costos hundidos asociados a la capacitación y consultorías especializadas en la aplicación industrial de productos y procesos innovadores  ¿  Efecto: Con los beneficios económicos y sociales alcanzados con este indicador de componente, se contribuye a impulsar el crecimiento de las ventas, producción, empleo, valor agregado, productividad y competitividad de las industrias de alta tecnología.  ¿Se acordó apoyar a proyectos para la formación y capacitación especializada de capital humano en la aplicación industrial de productos y procesos innovadores, esto permite que empresas de las industrias de alta tecnología (automotriz, eléctrica, electrónica, aeronáutica y metalmecánica) cuenten con el capital humano especializado que les permita impulsar su competitividad y productividad, además, el PRODIAT genera beneficiarios indirectos (personas que no están recibiendo directamente el apoyo) esta cobertura ampliada, resulta en 785 personas capacitadas que a su vez indirectamente pueden transferir sus habilidades a otras empresas del sector que en las que se recontraten.  ¿El proceso de selección de proyectos que incluyen: Cursos para la formación y capacitación especializada de capital humano en la aplicación industrial de productos y procesos innovadores multiplican la inversión público ¿ privada en beneficio público.   Otros Motivos:</t>
    </r>
  </si>
  <si>
    <r>
      <t xml:space="preserve">Porcentaje de proyectos de asistencia técnica que cuentan con procesos de innovación y alta especialización preparados para su operación.
</t>
    </r>
    <r>
      <rPr>
        <sz val="10"/>
        <rFont val="Soberana Sans"/>
        <family val="2"/>
      </rPr>
      <t xml:space="preserve"> Causa : De los 30 proyectos apoyados, 15 no están preparados para su operación, en razón de:          - 13 se apoyaron en 2013 y se encuentran en proceso de desarrollo con fecha de conclusión 2014.     - 2 proyectos apoyados en 2012 a un no concluyen, se estima que en el mes de febrero de 2014 concluyan.          Fuente: Secretaría de Economía, Dirección General de Industrias Pesadas y de Alta Tecnología. Efecto: No se logró alcanzar la meta del indicador. Otros Motivos:Se realizó el otorgamiento de los apoyos a finales del ejercicio fiscal que impidió concluir en el mismo ejercicio los proyectos, al igual que 2 de los apoyados en 2012 se extendió su desarrollo hasta 2014, por lo que no fue posible reportarlos como concluidos.</t>
    </r>
  </si>
  <si>
    <r>
      <t xml:space="preserve">Porcentaje de proyectos con apoyos para información especializada para la mejora de la producción y comercialización que se publica en Internet.
</t>
    </r>
    <r>
      <rPr>
        <sz val="10"/>
        <rFont val="Soberana Sans"/>
        <family val="2"/>
      </rPr>
      <t xml:space="preserve"> Causa : De los 34 informes apoyados, 24 no se han publicado en internet, en razón de:          - 23 se apoyaron en 2013 y se encuentran en proceso de desarrollo con fecha de conclusión 2014.     - 1 proyecto apoyado en 2012 aun no concluye, se estima que en el mes de febrero de 2014 concluyan.     Fuente: Secretaría de Economía, Dirección General de Industrias Pesadas y de Alta Tecnología. Efecto: No se logro la meta. Otros Motivos:El otorgamiento de apoyos en 2012 y 2013 se realizó en el segundo semestre, y se apoyaron proyectos cuya duración no terminó en el mismo ciclo, por lo que no fue posible reportar como concluidos todos los proyectos afectando el resultado del indicador.</t>
    </r>
  </si>
  <si>
    <r>
      <t xml:space="preserve">Porcentaje de apoyos para la adquisición de nuevas tecnologías útiles.
</t>
    </r>
    <r>
      <rPr>
        <sz val="10"/>
        <rFont val="Soberana Sans"/>
        <family val="2"/>
      </rPr>
      <t xml:space="preserve"> Causa : Durante el IV Trimestre, 5 proyectos que recibieron apoyo, concluyeron y en éste mismo periodo se apoyo a un proyecto cuyo cierre es en 2014.      Fuente: Secretaría de Economía, Dirección General de Industrias Pesadas y de Alta Tecnología. Efecto: Se cumplio la meta programada. Otros Motivos:</t>
    </r>
  </si>
  <si>
    <r>
      <t xml:space="preserve">Porcentaje de nuevas patentes y marcas en los proyectos apoyados por PRODIAT de productos comercializados.
</t>
    </r>
    <r>
      <rPr>
        <sz val="10"/>
        <rFont val="Soberana Sans"/>
        <family val="2"/>
      </rPr>
      <t xml:space="preserve"> Causa : De 2010 a 2013, el PRODIAT no ha otorgado apoyo a proyectos para nuevas patentes o marcas.      Fuente: Secretaría de Economía, Dirección General de Industrias Pesadas y de Alta Tecnología. Efecto: No se alcanzó el logro de la meta. Otros Motivos:Los solicitantes de apoyos del PRODIAT, prefirieron solicitar apoyos de otros rubros del programa.</t>
    </r>
  </si>
  <si>
    <r>
      <t xml:space="preserve">Porcentaje de solicitudes de apoyo entregadas a PRODIAT que cumplen con los requisitos de elegibilidad estipulados en las Reglas de Operación vigentes.
</t>
    </r>
    <r>
      <rPr>
        <sz val="10"/>
        <rFont val="Soberana Sans"/>
        <family val="2"/>
      </rPr>
      <t xml:space="preserve"> Causa : Se presentó mayor demanda a la esperada.   De las 17 solicitudes recibidas en el primer semestre de 2013, el Consejo Directivo acordó:   i) Apoyar 10 solicitudes que cumplen con los requisitos de elegibilidad y los proyectos están alineados a los objetivos del PRODIAT.   ii) No Apoyar 5 solicitudes pues no cumplen con los requisitos de elegibilidad (No pertenecen a la población objetivo); y   iii) No Apoyar 1 solicitud debido a que cumple con los requisitos de elegibilidad pero su proyecto no está alineado a los objetivos del PRODIAT.   IV) No apoyar 1 solicitud debido a que se desistió, pero que si cumple con los requisitos de elegibilidad.      Fuente: Secretaría de Economía, Dirección General de Industrias Pesadas y de Alta Tecnología. Efecto: Se duplicó la meta establecida. Otros Motivos:Se promovió la presentación de solicitudes y/o proyectos por la Secretaría de Economía, superando lo programado.</t>
    </r>
  </si>
  <si>
    <r>
      <t xml:space="preserve">Porcentaje de solicitudes de apoyo que cumplieron con los requisitos de elegibilidad y fueron dictaminadas por el Consejo Directivo de PRODIAT.
</t>
    </r>
    <r>
      <rPr>
        <sz val="10"/>
        <rFont val="Soberana Sans"/>
        <family val="2"/>
      </rPr>
      <t xml:space="preserve"> Causa : De las 17 solicitudes recibidas en el primer semestre de 2013:   i) 12 se presentaron en la SEGUNDA Sesión Ordinaria, celebrada el 11 de junio de 2013, de las cuáles, el Consejo Directivo acordó apoyar a 7 solicitudes.   ii) 5 se presentaron en la PRIMERA Sesión Extraordinaria, celebrada el 30 de julio de 2013, en razón de que 4 solicitudes no se encontraban en condiciones para presentarse en la SEGUNDA Sesión Ordinaria y una se recibió el 28 de junio de 2013.      Fuente: Secretaría de Economía, Dirección General de Industrias Pesadas y de Alta Tecnología. Efecto: No se logró la meta Otros Motivos:</t>
    </r>
  </si>
  <si>
    <r>
      <t xml:space="preserve">Porcentaje de sesiones celebradas del Consejo Directivo de PRODIAT, que se llevaron a cabo en tiempo y forma.
</t>
    </r>
    <r>
      <rPr>
        <sz val="10"/>
        <rFont val="Soberana Sans"/>
        <family val="2"/>
      </rPr>
      <t xml:space="preserve"> Causa : Se cumplió la meta.      El 14 de marzo, 11 de junio, 6 de septiembre y de diceimbre de 2013 se celebró la Primera y Segunda Sesión Ordinaria del Consejo Directivo del PRODIAT, respectivamente.   Lo anterior, conforme al numeral 20 inciso 1) de las ROPRODIAT 2013, que dice:   "20. El Consejo Directivo:   I. Sesionará de forma ordinaria una vez cada 3 meses y de manera extraordinaria cuando así se requiera;"   Fuente: Secretaría de Economía, Dirección General de Industrias Pesadas y de Alta Tecnología. Efecto: Se cumplió la meta. Otros Motivos:</t>
    </r>
  </si>
  <si>
    <r>
      <t xml:space="preserve">Porcentaje de proyectos apoyados en tiempo y forma.
</t>
    </r>
    <r>
      <rPr>
        <sz val="10"/>
        <rFont val="Soberana Sans"/>
        <family val="2"/>
      </rPr>
      <t xml:space="preserve"> Causa : Se han cumplido los plazos establecidos para dar apoyo a los proyectos aprobados, el diseño de la formula generó un resultado deficiente en el primer semestre asociado al ejercicio anterior (2012)      El Consejo Directivo del PRODIAT acordó apoyar a 7 proyectos en su sesión celebrada el 11 de junio de 2013, los cuáles recibieron los recursos en julio de 2013, dando cumplimiento al plazo establecido.      Fuente: Secretaría de Economía, Dirección General de Industrias Pesadas y de Alta Tecnología. Efecto: No se logró la meta. Otros Motivos:Diseño deficiente del indicador.</t>
    </r>
  </si>
  <si>
    <r>
      <t xml:space="preserve">Porcentaje de proyectos apoyados en curso que han sido monitoreados y supervisados a tiempo.
</t>
    </r>
    <r>
      <rPr>
        <sz val="10"/>
        <rFont val="Soberana Sans"/>
        <family val="2"/>
      </rPr>
      <t xml:space="preserve"> Causa : Se cumplió la meta.   De los 39 proyectos apoyados en curso, 1 corresponde a 2011, 4 a 2012 y 34 a 2013.   - Del proyecto de 2011, ya entregó su reporte final y se presentará en la PRIMERA Sesión Ordinaria de 2014.   - De los 4 de 2012, 2 ya entregaron su reporte final y se presentará en la PRIMERA Sesión Ordinaria de 2014 y los 2 restantes concluiran su proyecto en febrero de 2014.   - De los 34 de 2013, se están monitoreando para que concluyan sus proyectos durante 2014.      Fuente: Secretaría de Economía, Dirección General de Industrias Pesadas y de Alta Tecnología. Efecto: Se cumplió la meta. Otros Motivos:</t>
    </r>
  </si>
  <si>
    <r>
      <t xml:space="preserve">Porcentaje de proyectos apoyados finalizados con reporte de seguimiento actualizado.
</t>
    </r>
    <r>
      <rPr>
        <sz val="10"/>
        <rFont val="Soberana Sans"/>
        <family val="2"/>
      </rPr>
      <t xml:space="preserve"> Causa : Durante el primer semestre de 2013, el Consejo Directivo del PRODIAT acordó aprobar los reportes finales de 5 proyectos, los cuáles corresponde a proyectos apoyados en 2011 y 2012.   Durante el periodo de 2010 a 2012 se tiene en total 8 proyectos concluidos, de los cuáles 3 corresponden a proyectos apoyados en 2010 y 5 corresponden a proyectos apoyados en 2011.      Fuente: Dirección General de Industrias Pesadas y de Alta Tecnología. Efecto: No se logró la meta Otros Motivos:El retraso de la conclusión de los proyectos se debe a que el otorgamiento de los recursos en los ejercicios fiscales anteriores se ha realizado principalmente en el segundo semestre, además que se han autorizado proyectos de duración mayor a los propios ejercicios fiscales.</t>
    </r>
  </si>
  <si>
    <t>U003</t>
  </si>
  <si>
    <t>Programa para impulsar la competitividad de sectores industriales</t>
  </si>
  <si>
    <t>412-Dirección General de Industrias Ligeras</t>
  </si>
  <si>
    <t>Contribuir al desarrollo económico de México de industrias prioritarias vulnerables a coyunturas económicas que mantienen o promueven su producción y buscan elevar su competitividad</t>
  </si>
  <si>
    <r>
      <t>Participación del Índice de precios al consumidor de los productos de las industrias apoyadas</t>
    </r>
    <r>
      <rPr>
        <i/>
        <sz val="10"/>
        <color indexed="30"/>
        <rFont val="Soberana Sans"/>
        <family val="3"/>
      </rPr>
      <t xml:space="preserve">
</t>
    </r>
  </si>
  <si>
    <t>(Índice de precios al consumidor de los productos de las industrias apoyadas del año t / Índice de precios al consumidor de los productos de las industrias apoyadas del año t-1)*100</t>
  </si>
  <si>
    <t>Industrias prioritarias vulnerables a coyunturas económicas mantienen o promueven su producción y buscan elevar su competitividad</t>
  </si>
  <si>
    <r>
      <t>Competitividad en industrias de consumo básico</t>
    </r>
    <r>
      <rPr>
        <i/>
        <sz val="10"/>
        <color indexed="30"/>
        <rFont val="Soberana Sans"/>
        <family val="3"/>
      </rPr>
      <t xml:space="preserve">
</t>
    </r>
  </si>
  <si>
    <t>(Precio promedio de bienes producidos con insumos de la industria apoyada / Precio promedio de bienes producidos con insumos sin apoyo)*100</t>
  </si>
  <si>
    <r>
      <t>Participación del volumen de productos elaborados en las industrias apoyadas</t>
    </r>
    <r>
      <rPr>
        <i/>
        <sz val="10"/>
        <color indexed="30"/>
        <rFont val="Soberana Sans"/>
        <family val="3"/>
      </rPr>
      <t xml:space="preserve">
</t>
    </r>
  </si>
  <si>
    <t>(Volumen de producción del bien producido con insumo apoyado del año t / Volumen de producción del bien producido con insumo apoyado del año t-1)*100</t>
  </si>
  <si>
    <t>A Apoyos otorgados a industrias prioritarias vulnerables a coyunturas económicas</t>
  </si>
  <si>
    <r>
      <t>Tasa de variación de beneficiarios atendidos</t>
    </r>
    <r>
      <rPr>
        <i/>
        <sz val="10"/>
        <color indexed="30"/>
        <rFont val="Soberana Sans"/>
        <family val="3"/>
      </rPr>
      <t xml:space="preserve">
Indicador Seleccionado</t>
    </r>
  </si>
  <si>
    <t>((Número total de beneficiarios atendidos por el programa en el ejercicio fiscal t) / (Número total de beneficiarios atendidos por el programa en el ejercicio fiscal t-1) - 1) * 100</t>
  </si>
  <si>
    <r>
      <t>Participación del volumen de producción apoyado</t>
    </r>
    <r>
      <rPr>
        <i/>
        <sz val="10"/>
        <color indexed="30"/>
        <rFont val="Soberana Sans"/>
        <family val="3"/>
      </rPr>
      <t xml:space="preserve">
</t>
    </r>
  </si>
  <si>
    <t>(Volumen de producción apoyado en el ejercicio fiscal t / Valor del monto apoyado en el ejercicio fiscal t) /   (Volumen de producción apoyado en el ejercicio fiscal t-1 / Valor del monto apoyado en el ejercicio fiscal t-1)</t>
  </si>
  <si>
    <t>Índice de participación</t>
  </si>
  <si>
    <t>A 1 Recepción y resolución de las solicitudes de apoyo de los Organismos Intermedios</t>
  </si>
  <si>
    <r>
      <t>Variación de solicitudes de apoyo observadas respecto de las autorizadas</t>
    </r>
    <r>
      <rPr>
        <i/>
        <sz val="10"/>
        <color indexed="30"/>
        <rFont val="Soberana Sans"/>
        <family val="3"/>
      </rPr>
      <t xml:space="preserve">
</t>
    </r>
  </si>
  <si>
    <t>(Número de solicitudes de apoyo observadas en el año t / Número de solicitudes de apoyo autorizadas en el año t) / (Número de solicitudes de apoyo observadas en el año t-1 / Número de solicitudes de apoyo autorizadas en el año t-1)</t>
  </si>
  <si>
    <t>A 2 Otrogamiento de los apoyos a los Organismos Intermedios</t>
  </si>
  <si>
    <r>
      <t>Número de días promedio requeridos para el otorgamiento de apoyos</t>
    </r>
    <r>
      <rPr>
        <i/>
        <sz val="10"/>
        <color indexed="30"/>
        <rFont val="Soberana Sans"/>
        <family val="3"/>
      </rPr>
      <t xml:space="preserve">
</t>
    </r>
  </si>
  <si>
    <t>(Sumatoria(Fecha de ministración - Fecha de registro de convenio)) / Número de solicitudes aprobadas</t>
  </si>
  <si>
    <t>A 3 Recepción, evaluación y resolución de reportes finales presentados por los Organismos Intermedios</t>
  </si>
  <si>
    <r>
      <t>Porcentaje de reportes finales aprobados respecto a los presentados</t>
    </r>
    <r>
      <rPr>
        <i/>
        <sz val="10"/>
        <color indexed="30"/>
        <rFont val="Soberana Sans"/>
        <family val="3"/>
      </rPr>
      <t xml:space="preserve">
</t>
    </r>
  </si>
  <si>
    <t>(Reportes finales aprobados / Reportes finales presentados)*100</t>
  </si>
  <si>
    <t>A 4 Proceso de selección de Organismos Intermedios</t>
  </si>
  <si>
    <r>
      <t>Porcentaje de cartas de intención para fungir como Organismo Intermedio autorizadas</t>
    </r>
    <r>
      <rPr>
        <i/>
        <sz val="10"/>
        <color indexed="30"/>
        <rFont val="Soberana Sans"/>
        <family val="3"/>
      </rPr>
      <t xml:space="preserve">
</t>
    </r>
  </si>
  <si>
    <t>(Número de cartas de intención autorizadas / Número de cartas de inetnción recibidas)*100</t>
  </si>
  <si>
    <t>A 5 Suscripción de los Convenios de Colaboración</t>
  </si>
  <si>
    <r>
      <t>Número de días promedio requeridos para el registro de cada convenio</t>
    </r>
    <r>
      <rPr>
        <i/>
        <sz val="10"/>
        <color indexed="30"/>
        <rFont val="Soberana Sans"/>
        <family val="3"/>
      </rPr>
      <t xml:space="preserve">
</t>
    </r>
  </si>
  <si>
    <t>(Sumatoria(Fecha de registro de convenio - Fecha de aprobación de solicitudes de apoyo)) / Número de convenios suscritos</t>
  </si>
  <si>
    <r>
      <t xml:space="preserve">Participación del Índice de precios al consumidor de los productos de las industrias apoyadas
</t>
    </r>
    <r>
      <rPr>
        <sz val="10"/>
        <rFont val="Soberana Sans"/>
        <family val="2"/>
      </rPr>
      <t xml:space="preserve"> Causa :  La variación obedeció a menores impactos en los precios donde el Promasa opera. Efecto: El tener un indicador menor favoreció a las familias mexicanas toda vez que lo que se mide es un indicador inflacionario. Otros Motivos:</t>
    </r>
  </si>
  <si>
    <r>
      <t xml:space="preserve">Competitividad en industrias de consumo básico
</t>
    </r>
    <r>
      <rPr>
        <sz val="10"/>
        <rFont val="Soberana Sans"/>
        <family val="2"/>
      </rPr>
      <t xml:space="preserve"> Causa :  Los precios promedio de los bienes producidos con insumos de la industria apoyada fueron proporcionalmente menores a los producidos con insumos sin apoyo. Efecto: Se beneficia a las famillas mexicanas donde el Promasa opera. Otros Motivos:</t>
    </r>
  </si>
  <si>
    <r>
      <t xml:space="preserve">Participación del volumen de productos elaborados en las industrias apoyadas
</t>
    </r>
    <r>
      <rPr>
        <sz val="10"/>
        <rFont val="Soberana Sans"/>
        <family val="2"/>
      </rPr>
      <t xml:space="preserve"> Causa : El Gobierno Federal decidió apoyar las solicitudes pendientes del periodo anterior, además de las solicitudes correspondientes al presente ejercicio fiscal. Efecto: El volumen de producción de los bienes producidos con insumo apoyado fue mayor al volumen de la meta original. Otros Motivos:</t>
    </r>
  </si>
  <si>
    <r>
      <t xml:space="preserve">Tasa de variación de beneficiarios atendidos
</t>
    </r>
    <r>
      <rPr>
        <sz val="10"/>
        <rFont val="Soberana Sans"/>
        <family val="2"/>
      </rPr>
      <t xml:space="preserve"> Causa : Para 2013, la Dirección General de Industrias Básicas, estableció el indicador estratégico ¿Tasa de variación de beneficiarios atendidos¿, que mide la eficacia en el número total de beneficiarios atendidos por el programa, mediante los apoyos otorgados a industrias prioritarias vulnerables a coyunturas económicas. La meta fue alcanzar una tasa de variación del 10.0% con respecto a los 1 252 beneficiarios atendidos por el programa el año anterior. Al cierre del año, el número de beneficiarios ascendió a 1 876 que representan una tasa de variación de 49.8%, lo que significó un porcentaje de cumplimiento de 498.0 % con respecto de la meta programada. Este comportamiento se explica principalmente por lo siguiente:  ¿En 2013 el Consejo Directivo del PROIND en atención a una estrategia del gobierno federal, dirigida en atender las solicitudes pendientes de resolver del año anterior; más las que se presentaron en 2013, aprobó solicitudes de apoyo, en beneficio de 1 876 personas físicas o morales, por un monto de 427.1 millones de pesos.  Los apoyos por un  monto de 427.1 millones de pesos se otorgaron a través de 28 organismos intermedios, favoreciendo a 5 858 molinos y tortillerías, ubicados en los estados de: Aguascalientes, Baja California, Campeche, Chihuahua, Coahuila, Colima, Distrito Federal, Durango, Estado de México, Guanajuato, Guerrero, Hidalgo, Jalisco, Michoacán, Morelos, Nayarit, Nuevo León, Puebla, Querétaro, San Luis Potosí, Sinaloa, Sonora, Tamaulipas, Tlaxcala, Veracruz, Yucatán  y Zacatecas.   Se atendió con oportunidad la solicitud presentada tanto por personas físicas o morales dedicadas a la actividad industrial de molienda de nixtamal, debido a que en 18 días en promedio se tramitaron y asignaron los apoyos solicitados.    Con los recursos autorizados por el Consejo Directivo del PROIND, se logró apoyar a 5 858 unidades productivas del sector industrial molinero de nixtamal.   Efecto: Con los beneficios económicos y sociales obtenidos con este indicador de componente, se logró contribuir a mantener la producción del sector industrial molinero de nixtamal, para la elaboración de tortilla, como actividad económica estratégica; además de buscar elevar la competitividad y atenuar el impacto de los precios de las materias primas e insumos en su desempeño productivo.  ¿El Consejo Directivo del PROIND autorizó recursos por un monto de 427.1 millones pesos, para  apoyar a 5 858 unidades productivas del sector industrial molinero de nixtamal.  Se logró subsidiar la producción de 674.3 toneladas de nixtamal, elaboradas en 5 858 unidades productivas apoyadas.  El precio promedio del kilo de tortilla, de acuerdo a los datos del Sistema Nacional de Información e Integración de Mercados de la Secretaría, se incrementaron en menos del 3.0 % en 2013, con ello se contribuyó a mantener el poder adquisitivo de la población consumidora de este alimento.  El índice de precios al consumidor de los productos de las industrias apoyadas de masa y harinas de maíz, reportó una variación anual 9.0%, 0.8 puntos porcentuales menor a la presentada en 2012, lo anterior debido a menores impactos en los precios donde el PROMASA opera, favoreciendo a las familias mexicanas toda vez que se trata de un indicador inflacionario.  ¿El año 2013, ha sido el año en que se ha apoyado mayor producción de masa de nixtamal, reportando una variación de 59% respecto al 2012.     Otros Motivos:</t>
    </r>
  </si>
  <si>
    <r>
      <t xml:space="preserve">Participación del volumen de producción apoyado
</t>
    </r>
    <r>
      <rPr>
        <sz val="10"/>
        <rFont val="Soberana Sans"/>
        <family val="2"/>
      </rPr>
      <t xml:space="preserve"> Causa : El Gobierno Federal decidió apoyar las solicitudes pendientes del periodo anterior, además de que en el presente ejercicio ingresaron más solicitudes. Efecto: Tanto el volumen de producción como el valor del monto apoyados fueron mayores a los estimados en la meta original. Otros Motivos:</t>
    </r>
  </si>
  <si>
    <r>
      <t xml:space="preserve">Variación de solicitudes de apoyo observadas respecto de las autorizadas
</t>
    </r>
    <r>
      <rPr>
        <sz val="10"/>
        <rFont val="Soberana Sans"/>
        <family val="2"/>
      </rPr>
      <t xml:space="preserve"> Causa : En este ejercicio fiscal las solicitudes de apoyo presentadas por los Organimos Intermedios tuvieron menos inconsistencias. Efecto: Se presentaron menos observaciones a las solicitudes de apoyo. Otros Motivos:</t>
    </r>
  </si>
  <si>
    <r>
      <t xml:space="preserve">Número de días promedio requeridos para el otorgamiento de apoyos
</t>
    </r>
    <r>
      <rPr>
        <sz val="10"/>
        <rFont val="Soberana Sans"/>
        <family val="2"/>
      </rPr>
      <t xml:space="preserve"> Causa : La variación refleja la eficiencia de la respuesta para el otorgamiento de los apoyos. Efecto: Otorgar los apoyos en menor tiempo. Otros Motivos:</t>
    </r>
  </si>
  <si>
    <r>
      <t xml:space="preserve">Porcentaje de reportes finales aprobados respecto a los presentados
</t>
    </r>
    <r>
      <rPr>
        <sz val="10"/>
        <rFont val="Soberana Sans"/>
        <family val="2"/>
      </rPr>
      <t xml:space="preserve"> Causa : El 47% de los reportes finales presentados ya fue revisado y aprobado, el restante tiene observaciones y coninúa en revisión, y otros faltan de presentar, toda vez que los Organismos Intermedios cuentan con 30 días naturales posteriores a la fecha en que recibieron el recurso. Efecto: Se tienen reportes finales pendientes por aprobar. Otros Motivos:</t>
    </r>
  </si>
  <si>
    <r>
      <t xml:space="preserve">Porcentaje de cartas de intención para fungir como Organismo Intermedio autorizadas
</t>
    </r>
    <r>
      <rPr>
        <sz val="10"/>
        <rFont val="Soberana Sans"/>
        <family val="2"/>
      </rPr>
      <t xml:space="preserve"> Causa : Cuatro organismos empresariales solicitantes no presentaron algún documento requerido o lo presentaron fuera de tiempo, y no continuaron con el trámite. Efecto: Las demás solicitudes se atendieron con oportunidad. Otros Motivos:</t>
    </r>
  </si>
  <si>
    <r>
      <t xml:space="preserve">Número de días promedio requeridos para el registro de cada convenio
</t>
    </r>
    <r>
      <rPr>
        <sz val="10"/>
        <rFont val="Soberana Sans"/>
        <family val="2"/>
      </rPr>
      <t xml:space="preserve"> Causa : La variación refleja la eficiencia de la respuesta en el registro de los convenios. Efecto: Disminuir el promedio de días esperado para el registro de los convenios, permitió atender con mejor oportunidad el otorgamiento de los apoyos. Otros Motivos:</t>
    </r>
  </si>
  <si>
    <t>U004</t>
  </si>
  <si>
    <t>Proyectos estratégicos para la atracción de inversión extranjera</t>
  </si>
  <si>
    <t>Contribuir a la creación de empleos formales mediante la atracción de Inversión Extranjera Directa</t>
  </si>
  <si>
    <r>
      <t xml:space="preserve">Tasa de variación de los empleos formales creados por los proyectos apoyados por el Fondo ProMéxico  </t>
    </r>
    <r>
      <rPr>
        <i/>
        <sz val="10"/>
        <color indexed="30"/>
        <rFont val="Soberana Sans"/>
        <family val="3"/>
      </rPr>
      <t xml:space="preserve">
</t>
    </r>
  </si>
  <si>
    <t xml:space="preserve">{(Número de empleos creados por empresas apoyadas por el Fondo ProMéxico al periodo t / Número de empleos creados por empresas apoyadas por el Fondo ProMéxico al periodo t-1) -1}*100  </t>
  </si>
  <si>
    <r>
      <t>Porcentaje de las remuneraciones promedio pagadas a los empleos formales creados por las empresas apoyadas por el Fondo ProMéxico con respecto a las remuneraciones promedio pagadas a los empleos formales en México</t>
    </r>
    <r>
      <rPr>
        <i/>
        <sz val="10"/>
        <color indexed="30"/>
        <rFont val="Soberana Sans"/>
        <family val="3"/>
      </rPr>
      <t xml:space="preserve">
</t>
    </r>
  </si>
  <si>
    <t>{(Remuneraciones promedio pagadas a los empleos formales creados por las empresas apoyadas por el Fondo ProMéxico en el periodo t - Remuneraciones promedio pagadas a los empleos formales creados en México en el periodo t)/ Remuneraciones promedio pagadas a los empleos formales creados en México en el periodo t}*100</t>
  </si>
  <si>
    <t>Las empresas extranjeras o con mayoría de capital extranjero de los diferentes sectores productivos invierten en México.</t>
  </si>
  <si>
    <r>
      <t xml:space="preserve">Porcentaje de la inversión extranjera directa atraída por los proyectos apoyados por el Fondo ProMéxico con respecto a la inversión extranjera directa atraída en México.  </t>
    </r>
    <r>
      <rPr>
        <i/>
        <sz val="10"/>
        <color indexed="30"/>
        <rFont val="Soberana Sans"/>
        <family val="3"/>
      </rPr>
      <t xml:space="preserve">
Indicador Seleccionado</t>
    </r>
  </si>
  <si>
    <t xml:space="preserve">(Inversión extranjera directa atraída por los proyectos apoyados por el Fondo ProMéxico en el periodo t/Inversión extranjera directa atraída en México en el periodo t)*100  </t>
  </si>
  <si>
    <t>A Apoyos económicos otorgados a empresas extranjeras o con mayoría de capital extranjero</t>
  </si>
  <si>
    <r>
      <t xml:space="preserve">Monto de inversión extranjera directa atraída por los proyectos apoyados por el Fondo ProMéxico con respecto al apoyo otorgado por el Fondo ProMéxico  </t>
    </r>
    <r>
      <rPr>
        <i/>
        <sz val="10"/>
        <color indexed="30"/>
        <rFont val="Soberana Sans"/>
        <family val="3"/>
      </rPr>
      <t xml:space="preserve">
</t>
    </r>
  </si>
  <si>
    <t xml:space="preserve">(Monto total de la inversión extranjera directa atraida por las empresas apoyadas por el Fondo ProMéxico en el período t / Monto total de apoyos otorgados a las empresas apoyadas por el Fondo ProMéxico en el periodo t)  </t>
  </si>
  <si>
    <t>Dólares</t>
  </si>
  <si>
    <t>A 1 Seguimiento a proyectos de inversión con Convenio de Adhesión firmado.</t>
  </si>
  <si>
    <r>
      <t xml:space="preserve">Porcentaje de proyectos de inversión extranjera directa a los que les fue aplicado el seguimiento con respecto al total de proyectos de inversión extranjera directa formalizados.  </t>
    </r>
    <r>
      <rPr>
        <i/>
        <sz val="10"/>
        <color indexed="30"/>
        <rFont val="Soberana Sans"/>
        <family val="3"/>
      </rPr>
      <t xml:space="preserve">
</t>
    </r>
  </si>
  <si>
    <t xml:space="preserve">(Número de proyectos de inversión extranjera directa a los que les fue aplicado el seguimiento al periodo t/ Número de proyectos de inversión extranjera directa formalizados al periodo t)*100  </t>
  </si>
  <si>
    <t>A 2 Formalización de proyectos de inversión autorizados</t>
  </si>
  <si>
    <r>
      <t xml:space="preserve">Porcentaje de empresas que firman el Convenio de Adhesión con respecto del total de empresas con apoyo económico autorizado por parte del Fondo ProMéxico  </t>
    </r>
    <r>
      <rPr>
        <i/>
        <sz val="10"/>
        <color indexed="30"/>
        <rFont val="Soberana Sans"/>
        <family val="3"/>
      </rPr>
      <t xml:space="preserve">
</t>
    </r>
  </si>
  <si>
    <t xml:space="preserve">(Número de empresas que firman el Convenio de Adhesión en el periodo t/ Número de empresas con apoyo económico autorizado por parte del Fondo ProMéxico en el periodo t)*100  </t>
  </si>
  <si>
    <r>
      <t xml:space="preserve">Tasa de variación de los empleos formales creados por los proyectos apoyados por el Fondo ProMéxico  
</t>
    </r>
    <r>
      <rPr>
        <sz val="10"/>
        <rFont val="Soberana Sans"/>
        <family val="2"/>
      </rPr>
      <t xml:space="preserve"> Causa : Otras explicaciones a las variaciones. Se superó la meta planeada debido a que el 55% de las empresas beneficiarias crearon en 2012 un número de empleos mayor a lo planeado. Efecto: Mayor generación de empleos Otros Motivos:</t>
    </r>
  </si>
  <si>
    <r>
      <t xml:space="preserve">Porcentaje de las remuneraciones promedio pagadas a los empleos formales creados por las empresas apoyadas por el Fondo ProMéxico con respecto a las remuneraciones promedio pagadas a los empleos formales en México
</t>
    </r>
    <r>
      <rPr>
        <sz val="10"/>
        <rFont val="Soberana Sans"/>
        <family val="2"/>
      </rPr>
      <t xml:space="preserve"> Causa : Otras causas que por su naturaleza no es posible agrupar. La diferencia entre la meta planeada y la observada se debe a que el 36% de las empresas beneficiarias pagaron remuneraciones promedio por empleado menores a lo planeado. Efecto: Menor pago de remuneraciones a los empleados Otros Motivos:</t>
    </r>
  </si>
  <si>
    <r>
      <t xml:space="preserve">Porcentaje de la inversión extranjera directa atraída por los proyectos apoyados por el Fondo ProMéxico con respecto a la inversión extranjera directa atraída en México.  
</t>
    </r>
    <r>
      <rPr>
        <sz val="10"/>
        <rFont val="Soberana Sans"/>
        <family val="2"/>
      </rPr>
      <t xml:space="preserve"> Causa : En 2013, ProMéxico estableció el indicador estratégico ¿Porcentaje de la inversión extranjera directa atraída por los proyectos apoyados por el Fondo ProMéxico con respecto a la inversión extranjera directa atraída en México¿, que mide la eficacia de la inversión extranjera directa atraída por los proyectos apoyados por este fideicomiso. La meta aprobada fue de alcanzar el 20.5 % del monto de inversión extranjera captada a nivel nacional; al cierre del ejercicio la meta alcanzada fue de 46.3 %, lo cual significó un porcentaje de cumplimiento de 225.9% con relación a la meta aprobada. Este comportamiento se explica por lo siguiente:   ¿Durante 2013, México registró 35 188.4 millones de dólares millones de dólares por concepto de Inversión Extranjera Directa (IED), cifra 178.0% mayor al monto originalmente reportado para el año 2012 (12 659.4 millones de dólares).  ¿El monto de IED en 2013 es la cifra más alta dada a conocer, para un año, dicho monto incluye la adquisición de Grupo Modelo por parte de AB Inbev, en el segundo trimestre de 2013, por un monto de 13 249.2 millones de dólares, pero que  incluso restando esta transacción al monto total de IED en 2013, la cantidad ascendió a 21 939.1 millones de dólares, cifra 73.0% superior a la o alcanzada el 2012.  ¿En este entorno, el programa contribuyó con la atracción de inversión directa por un valor de 6 217 millones de dólares, equivalente al 17.7% de la IED captada a nivel nacional.   Efecto: Con los beneficios económicos y sociales alcanzados con este indicador de propósito, se logró contribuir a la atracción de inversión extranjera directa en México, a través del otorgamiento de apoyos a proyectos que impulsen el crecimiento económico nacional.  ¿Uno de los principales beneficios derivados de la inversión extranjera directa, es la generación de empleos de calidad y mejor remunerados.  Al respecto, el programa se planteó que las remuneraciones promedio pagadas por los proyectos apoyados, alcanzaran un 15.0 % por arriba de a las remuneraciones promedio pagadas por empleado en México en 2013.   Otros Motivos:</t>
    </r>
  </si>
  <si>
    <r>
      <t xml:space="preserve">Monto de inversión extranjera directa atraída por los proyectos apoyados por el Fondo ProMéxico con respecto al apoyo otorgado por el Fondo ProMéxico  
</t>
    </r>
    <r>
      <rPr>
        <sz val="10"/>
        <rFont val="Soberana Sans"/>
        <family val="2"/>
      </rPr>
      <t xml:space="preserve"> Causa : LOS PROYECTOS A LOS QUE LES FUE OTORGADO EL APOYO GENERARÁN MAYORES BENEFICIOS AL PAÍS RESPECTO A LO ESTIMADO, POR LO CUAL SE LES OTORGÓ UN APOYO MAYOR POR CADA DÓLAR DE INVERSIÓN. Efecto: LOS PROYECTOS A LOS QUE LES FUE OTORGADO EL APOYO GENERARÁN MAYORES BENEFICIOS AL PAÍS RESPECTO A LO ESTIMADO Otros Motivos:</t>
    </r>
  </si>
  <si>
    <r>
      <t xml:space="preserve">Porcentaje de proyectos de inversión extranjera directa a los que les fue aplicado el seguimiento con respecto al total de proyectos de inversión extranjera directa formalizados.  
</t>
    </r>
    <r>
      <rPr>
        <sz val="10"/>
        <rFont val="Soberana Sans"/>
        <family val="2"/>
      </rPr>
      <t xml:space="preserve"> Causa : Las empresas con apoyo autorizado cumplieron en tiempo y forma con la comprobación, lo que permitió que el área encargada del monitoreo realizara el seguimiento correspondiente Efecto: Aplicación del seguimiento a un mayor número de proyectos Otros Motivos:</t>
    </r>
  </si>
  <si>
    <r>
      <t xml:space="preserve">Porcentaje de empresas que firman el Convenio de Adhesión con respecto del total de empresas con apoyo económico autorizado por parte del Fondo ProMéxico  
</t>
    </r>
    <r>
      <rPr>
        <sz val="10"/>
        <rFont val="Soberana Sans"/>
        <family val="2"/>
      </rPr>
      <t xml:space="preserve"> Causa : LA META SE CUMPLIÓ AL 100% YA QUE EL TOTAL DE LAS EMPRESAS PREVISTAS CON APOYO AUTORIZADO FORMALIZARON EL APOYO Efecto: EL TOTAL DE LAS EMPRESAS PREVISTAS CON APOYO AUTORIZADO FORMALIZARON EL APOYO Otros Motivos:</t>
    </r>
  </si>
</sst>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
      <sz val="10"/>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7">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0" borderId="13" xfId="0" applyFont="1" applyBorder="1" applyAlignment="1">
      <alignment vertical="top" wrapText="1"/>
    </xf>
    <xf numFmtId="0" fontId="24" fillId="0" borderId="0" xfId="0" applyFont="1" applyBorder="1" applyAlignment="1">
      <alignment horizontal="center" vertical="top" wrapText="1"/>
    </xf>
    <xf numFmtId="0" fontId="0" fillId="0" borderId="0" xfId="0" applyBorder="1" applyAlignment="1">
      <alignment horizontal="right" vertical="top" wrapText="1"/>
    </xf>
    <xf numFmtId="0" fontId="18" fillId="0" borderId="0" xfId="0" applyFont="1" applyBorder="1" applyAlignment="1">
      <alignment vertical="top" wrapText="1"/>
    </xf>
    <xf numFmtId="0" fontId="19" fillId="0" borderId="0" xfId="0" applyFont="1" applyBorder="1" applyAlignment="1">
      <alignment horizontal="center" vertical="top" wrapText="1"/>
    </xf>
    <xf numFmtId="0" fontId="18" fillId="0" borderId="16" xfId="0" applyFont="1" applyBorder="1" applyAlignment="1">
      <alignment horizontal="justify" vertical="top" wrapText="1"/>
    </xf>
    <xf numFmtId="0" fontId="18" fillId="0" borderId="17" xfId="0" applyFont="1" applyBorder="1" applyAlignment="1">
      <alignment horizontal="right" vertical="top" wrapText="1"/>
    </xf>
    <xf numFmtId="0" fontId="0" fillId="0" borderId="17" xfId="0" applyBorder="1" applyAlignment="1">
      <alignment vertical="top" wrapText="1"/>
    </xf>
    <xf numFmtId="0" fontId="18" fillId="0" borderId="17" xfId="0" applyFont="1" applyBorder="1" applyAlignment="1">
      <alignment vertical="top" wrapText="1"/>
    </xf>
    <xf numFmtId="0" fontId="19" fillId="0" borderId="17" xfId="0" applyFont="1" applyBorder="1" applyAlignment="1">
      <alignment vertical="top"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0" fontId="18" fillId="0" borderId="42" xfId="0" applyFont="1" applyFill="1" applyBorder="1" applyAlignment="1">
      <alignment vertical="top" wrapText="1"/>
    </xf>
    <xf numFmtId="4" fontId="19" fillId="0" borderId="43" xfId="0" applyNumberFormat="1" applyFont="1" applyBorder="1" applyAlignment="1">
      <alignment horizontal="right" vertical="top" wrapText="1"/>
    </xf>
    <xf numFmtId="3" fontId="19" fillId="0" borderId="40" xfId="0" applyNumberFormat="1" applyFont="1" applyBorder="1" applyAlignment="1">
      <alignment horizontal="right" vertical="top" wrapText="1"/>
    </xf>
    <xf numFmtId="3" fontId="19" fillId="0" borderId="43" xfId="0" applyNumberFormat="1" applyFont="1" applyBorder="1" applyAlignment="1">
      <alignment horizontal="right" vertical="top" wrapText="1"/>
    </xf>
    <xf numFmtId="3" fontId="0" fillId="0" borderId="0" xfId="0" applyNumberFormat="1" applyAlignment="1">
      <alignment vertical="top" wrapText="1"/>
    </xf>
    <xf numFmtId="0" fontId="25" fillId="36" borderId="45"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6"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7" xfId="0" applyFont="1" applyFill="1" applyBorder="1" applyAlignment="1">
      <alignment horizontal="centerContinuous" vertical="center"/>
    </xf>
    <xf numFmtId="0" fontId="26" fillId="36" borderId="48" xfId="0" applyFont="1" applyFill="1" applyBorder="1" applyAlignment="1">
      <alignment horizontal="centerContinuous" vertical="center"/>
    </xf>
    <xf numFmtId="0" fontId="26" fillId="36" borderId="48" xfId="0" applyFont="1" applyFill="1" applyBorder="1" applyAlignment="1">
      <alignment horizontal="centerContinuous"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5" xfId="0" applyFont="1" applyBorder="1" applyAlignment="1">
      <alignment horizontal="justify" vertical="top" wrapText="1"/>
    </xf>
    <xf numFmtId="0" fontId="0" fillId="0" borderId="55" xfId="0" applyBorder="1" applyAlignment="1">
      <alignment vertical="top" wrapText="1"/>
    </xf>
    <xf numFmtId="4" fontId="0" fillId="0" borderId="55" xfId="0" applyNumberFormat="1" applyBorder="1" applyAlignment="1">
      <alignment vertical="top" wrapText="1"/>
    </xf>
    <xf numFmtId="2" fontId="0" fillId="0" borderId="41" xfId="0" applyNumberFormat="1" applyBorder="1" applyAlignment="1">
      <alignment horizontal="right" vertical="top" wrapText="1"/>
    </xf>
    <xf numFmtId="2" fontId="0" fillId="0" borderId="44" xfId="0" applyNumberFormat="1" applyBorder="1" applyAlignment="1">
      <alignment horizontal="right" vertical="top" wrapText="1"/>
    </xf>
    <xf numFmtId="2" fontId="23" fillId="35" borderId="12" xfId="0" applyNumberFormat="1" applyFont="1" applyFill="1" applyBorder="1" applyAlignment="1">
      <alignment horizontal="centerContinuous" vertical="center" wrapText="1"/>
    </xf>
    <xf numFmtId="2" fontId="18" fillId="36" borderId="27" xfId="0" applyNumberFormat="1" applyFont="1" applyFill="1" applyBorder="1" applyAlignment="1">
      <alignment horizontal="center" vertical="center" wrapText="1"/>
    </xf>
    <xf numFmtId="2" fontId="18" fillId="36" borderId="50" xfId="0" applyNumberFormat="1" applyFont="1" applyFill="1" applyBorder="1" applyAlignment="1">
      <alignment horizontal="center" vertical="center" wrapText="1"/>
    </xf>
    <xf numFmtId="2" fontId="0" fillId="0" borderId="0" xfId="0" applyNumberFormat="1" applyAlignment="1">
      <alignment vertical="top" wrapText="1"/>
    </xf>
    <xf numFmtId="2" fontId="32" fillId="0" borderId="44" xfId="0" applyNumberFormat="1" applyFont="1" applyBorder="1" applyAlignment="1">
      <alignment horizontal="right" vertical="top" wrapText="1"/>
    </xf>
    <xf numFmtId="4" fontId="0" fillId="0" borderId="52" xfId="0" applyNumberFormat="1" applyFill="1" applyBorder="1" applyAlignment="1">
      <alignment horizontal="right" vertical="top" wrapText="1"/>
    </xf>
    <xf numFmtId="4" fontId="19" fillId="0" borderId="53" xfId="0" applyNumberFormat="1" applyFont="1" applyFill="1" applyBorder="1" applyAlignment="1">
      <alignment horizontal="right" vertical="top" wrapText="1"/>
    </xf>
    <xf numFmtId="4" fontId="19" fillId="0" borderId="43" xfId="0" applyNumberFormat="1" applyFont="1" applyFill="1" applyBorder="1" applyAlignment="1">
      <alignment horizontal="right" vertical="top" wrapText="1"/>
    </xf>
    <xf numFmtId="2" fontId="0" fillId="0" borderId="44" xfId="0" applyNumberFormat="1" applyFill="1" applyBorder="1" applyAlignment="1">
      <alignment horizontal="right" vertical="top"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18" fillId="36" borderId="19"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28" fillId="0" borderId="0" xfId="0" applyFont="1" applyBorder="1" applyAlignment="1">
      <alignment horizontal="justify" vertical="top" wrapText="1"/>
    </xf>
    <xf numFmtId="0" fontId="19" fillId="0" borderId="0" xfId="0" applyFont="1" applyBorder="1" applyAlignment="1">
      <alignment horizontal="justify" vertical="top" wrapText="1"/>
    </xf>
    <xf numFmtId="0" fontId="19" fillId="0" borderId="15" xfId="0" applyFont="1" applyBorder="1" applyAlignment="1">
      <alignment horizontal="justify" vertical="top"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0" fillId="0" borderId="40" xfId="0" applyFill="1" applyBorder="1" applyAlignment="1">
      <alignment horizontal="justify" vertical="top" wrapText="1"/>
    </xf>
    <xf numFmtId="0" fontId="19" fillId="0" borderId="17" xfId="0" applyFont="1" applyBorder="1" applyAlignment="1">
      <alignment horizontal="justify" vertical="top" wrapText="1"/>
    </xf>
    <xf numFmtId="0" fontId="19" fillId="0" borderId="18" xfId="0" applyFont="1" applyBorder="1" applyAlignment="1">
      <alignment horizontal="justify" vertical="top" wrapText="1"/>
    </xf>
    <xf numFmtId="0" fontId="0" fillId="0" borderId="43" xfId="0" applyFill="1" applyBorder="1" applyAlignment="1">
      <alignment horizontal="justify"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Border="1" applyAlignment="1">
      <alignment horizontal="justify" vertical="top" wrapText="1"/>
    </xf>
    <xf numFmtId="0" fontId="18" fillId="0" borderId="56"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44"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2" fontId="18" fillId="0" borderId="57" xfId="0" applyNumberFormat="1" applyFont="1" applyFill="1" applyBorder="1" applyAlignment="1">
      <alignment horizontal="justify" vertical="top" wrapText="1"/>
    </xf>
    <xf numFmtId="2" fontId="18" fillId="0" borderId="44" xfId="0" applyNumberFormat="1" applyFont="1" applyFill="1" applyBorder="1" applyAlignment="1">
      <alignment horizontal="justify" vertical="top" wrapText="1"/>
    </xf>
    <xf numFmtId="2" fontId="18" fillId="0" borderId="59" xfId="0" applyNumberFormat="1" applyFont="1" applyFill="1" applyBorder="1" applyAlignment="1">
      <alignment horizontal="justify"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tabSelected="1" view="pageBreakPreview" zoomScale="80" zoomScaleNormal="80" zoomScaleSheetLayoutView="80" workbookViewId="0">
      <selection activeCell="B2" sqref="B2"/>
    </sheetView>
  </sheetViews>
  <sheetFormatPr baseColWidth="10" defaultColWidth="5" defaultRowHeight="12.75" x14ac:dyDescent="0.2"/>
  <cols>
    <col min="1" max="1" width="3.5" style="1" customWidth="1"/>
    <col min="2" max="16384" width="5" style="1"/>
  </cols>
  <sheetData>
    <row r="1" spans="2:30" s="2" customFormat="1" ht="48" customHeight="1" x14ac:dyDescent="0.2">
      <c r="B1" s="56" t="s">
        <v>0</v>
      </c>
      <c r="C1" s="56"/>
      <c r="D1" s="56"/>
      <c r="E1" s="56"/>
      <c r="F1" s="56"/>
      <c r="G1" s="56"/>
      <c r="H1" s="56"/>
      <c r="I1" s="56"/>
      <c r="J1" s="56"/>
      <c r="K1" s="56"/>
      <c r="L1" s="56"/>
      <c r="M1" s="56"/>
      <c r="N1" s="56"/>
      <c r="O1" s="56"/>
      <c r="P1" s="56"/>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57" t="s">
        <v>2</v>
      </c>
      <c r="C11" s="57"/>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row>
    <row r="12" spans="2:30" ht="13.5" customHeight="1" x14ac:dyDescent="0.2">
      <c r="B12" s="57"/>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row>
    <row r="13" spans="2:30" ht="13.5" customHeight="1" x14ac:dyDescent="0.2">
      <c r="B13" s="57"/>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row>
    <row r="14" spans="2:30" ht="13.5" customHeight="1" x14ac:dyDescent="0.2">
      <c r="B14" s="57"/>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row>
    <row r="15" spans="2:30" ht="13.5" customHeight="1" x14ac:dyDescent="0.2">
      <c r="B15" s="57"/>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row>
    <row r="16" spans="2:30" ht="13.5" customHeight="1" x14ac:dyDescent="0.2">
      <c r="B16" s="57"/>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row>
    <row r="17" spans="2:30" ht="13.5" customHeight="1" x14ac:dyDescent="0.2">
      <c r="B17" s="57"/>
      <c r="C17" s="57"/>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row>
    <row r="18" spans="2:30" ht="13.5" customHeight="1" x14ac:dyDescent="0.2">
      <c r="B18" s="57"/>
      <c r="C18" s="57"/>
      <c r="D18" s="57"/>
      <c r="E18" s="57"/>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row>
    <row r="19" spans="2:30" ht="13.5" customHeight="1" x14ac:dyDescent="0.2">
      <c r="B19" s="57"/>
      <c r="C19" s="57"/>
      <c r="D19" s="57"/>
      <c r="E19" s="57"/>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row>
    <row r="20" spans="2:30" ht="13.5" customHeight="1" x14ac:dyDescent="0.2">
      <c r="B20" s="57"/>
      <c r="C20" s="57"/>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row>
    <row r="21" spans="2:30" ht="13.5" customHeight="1" x14ac:dyDescent="0.2">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row>
    <row r="22" spans="2:30" ht="13.5" customHeight="1" x14ac:dyDescent="0.2">
      <c r="B22" s="57"/>
      <c r="C22" s="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row>
    <row r="23" spans="2:30" ht="13.5" customHeight="1" x14ac:dyDescent="0.2">
      <c r="B23" s="57"/>
      <c r="C23" s="57"/>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row>
    <row r="24" spans="2:30" ht="13.5" customHeight="1" x14ac:dyDescent="0.2">
      <c r="B24" s="57"/>
      <c r="C24" s="57"/>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row>
    <row r="25" spans="2:30" ht="13.5" customHeight="1" x14ac:dyDescent="0.2">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row>
    <row r="26" spans="2:30" ht="13.5" customHeight="1" x14ac:dyDescent="0.2">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row>
    <row r="27" spans="2:30" ht="13.5" customHeight="1" x14ac:dyDescent="0.2">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row>
    <row r="28" spans="2:30" ht="13.5" customHeight="1" x14ac:dyDescent="0.2">
      <c r="B28" s="57"/>
      <c r="C28" s="57"/>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row>
    <row r="29" spans="2:30" ht="13.5" customHeight="1" x14ac:dyDescent="0.2">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row>
    <row r="30" spans="2:30" ht="13.5" customHeight="1" x14ac:dyDescent="0.2">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row>
    <row r="31" spans="2:30" ht="13.5" customHeight="1" x14ac:dyDescent="0.2">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row>
    <row r="32" spans="2:30" ht="13.5" customHeight="1" x14ac:dyDescent="0.2">
      <c r="B32" s="57"/>
      <c r="C32" s="57"/>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row>
    <row r="33" spans="2:30" ht="13.5" customHeight="1" x14ac:dyDescent="0.2">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row>
    <row r="34" spans="2:30" ht="13.5" customHeight="1" x14ac:dyDescent="0.2">
      <c r="B34" s="57"/>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58" t="s">
        <v>3</v>
      </c>
      <c r="E49" s="58"/>
      <c r="F49" s="58"/>
      <c r="G49" s="58"/>
      <c r="H49" s="58"/>
      <c r="I49" s="58"/>
      <c r="J49" s="58"/>
      <c r="K49" s="58"/>
      <c r="L49" s="58"/>
      <c r="M49" s="58"/>
      <c r="N49" s="58"/>
      <c r="O49" s="58"/>
      <c r="P49" s="58"/>
      <c r="Q49" s="58"/>
      <c r="R49" s="58"/>
      <c r="S49" s="58"/>
      <c r="T49" s="58"/>
      <c r="U49" s="58"/>
      <c r="V49" s="58"/>
      <c r="W49" s="58"/>
      <c r="X49" s="58"/>
      <c r="Y49" s="58"/>
      <c r="Z49" s="58"/>
      <c r="AA49" s="58"/>
      <c r="AB49" s="58"/>
    </row>
    <row r="50" spans="4:28" ht="13.5" customHeight="1" x14ac:dyDescent="0.2">
      <c r="D50" s="59" t="s">
        <v>4</v>
      </c>
      <c r="E50" s="59"/>
      <c r="F50" s="59"/>
      <c r="G50" s="59"/>
      <c r="H50" s="59"/>
      <c r="I50" s="59"/>
      <c r="J50" s="59"/>
      <c r="K50" s="59"/>
      <c r="L50" s="59"/>
      <c r="M50" s="59"/>
      <c r="N50" s="59"/>
      <c r="O50" s="59"/>
      <c r="P50" s="59"/>
      <c r="Q50" s="59"/>
      <c r="R50" s="59"/>
      <c r="S50" s="59"/>
      <c r="T50" s="59"/>
      <c r="U50" s="59"/>
      <c r="V50" s="59"/>
      <c r="W50" s="59"/>
      <c r="X50" s="59"/>
      <c r="Y50" s="59"/>
      <c r="Z50" s="59"/>
      <c r="AA50" s="59"/>
      <c r="AB50" s="59"/>
    </row>
    <row r="51" spans="4:28" ht="13.5" customHeight="1" x14ac:dyDescent="0.2">
      <c r="D51" s="59"/>
      <c r="E51" s="59"/>
      <c r="F51" s="59"/>
      <c r="G51" s="59"/>
      <c r="H51" s="59"/>
      <c r="I51" s="59"/>
      <c r="J51" s="59"/>
      <c r="K51" s="59"/>
      <c r="L51" s="59"/>
      <c r="M51" s="59"/>
      <c r="N51" s="59"/>
      <c r="O51" s="59"/>
      <c r="P51" s="59"/>
      <c r="Q51" s="59"/>
      <c r="R51" s="59"/>
      <c r="S51" s="59"/>
      <c r="T51" s="59"/>
      <c r="U51" s="59"/>
      <c r="V51" s="59"/>
      <c r="W51" s="59"/>
      <c r="X51" s="59"/>
      <c r="Y51" s="59"/>
      <c r="Z51" s="59"/>
      <c r="AA51" s="59"/>
      <c r="AB51" s="59"/>
    </row>
    <row r="52" spans="4:28" ht="13.5" customHeight="1" x14ac:dyDescent="0.2">
      <c r="D52" s="59"/>
      <c r="E52" s="59"/>
      <c r="F52" s="59"/>
      <c r="G52" s="59"/>
      <c r="H52" s="59"/>
      <c r="I52" s="59"/>
      <c r="J52" s="59"/>
      <c r="K52" s="59"/>
      <c r="L52" s="59"/>
      <c r="M52" s="59"/>
      <c r="N52" s="59"/>
      <c r="O52" s="59"/>
      <c r="P52" s="59"/>
      <c r="Q52" s="59"/>
      <c r="R52" s="59"/>
      <c r="S52" s="59"/>
      <c r="T52" s="59"/>
      <c r="U52" s="59"/>
      <c r="V52" s="59"/>
      <c r="W52" s="59"/>
      <c r="X52" s="59"/>
      <c r="Y52" s="59"/>
      <c r="Z52" s="59"/>
      <c r="AA52" s="59"/>
      <c r="AB52" s="59"/>
    </row>
    <row r="53" spans="4:28" ht="13.5" customHeight="1" x14ac:dyDescent="0.2">
      <c r="D53" s="59"/>
      <c r="E53" s="59"/>
      <c r="F53" s="59"/>
      <c r="G53" s="59"/>
      <c r="H53" s="59"/>
      <c r="I53" s="59"/>
      <c r="J53" s="59"/>
      <c r="K53" s="59"/>
      <c r="L53" s="59"/>
      <c r="M53" s="59"/>
      <c r="N53" s="59"/>
      <c r="O53" s="59"/>
      <c r="P53" s="59"/>
      <c r="Q53" s="59"/>
      <c r="R53" s="59"/>
      <c r="S53" s="59"/>
      <c r="T53" s="59"/>
      <c r="U53" s="59"/>
      <c r="V53" s="59"/>
      <c r="W53" s="59"/>
      <c r="X53" s="59"/>
      <c r="Y53" s="59"/>
      <c r="Z53" s="59"/>
      <c r="AA53" s="59"/>
      <c r="AB53" s="59"/>
    </row>
    <row r="54" spans="4:28" ht="13.5" customHeight="1" x14ac:dyDescent="0.2">
      <c r="D54" s="59"/>
      <c r="E54" s="59"/>
      <c r="F54" s="59"/>
      <c r="G54" s="59"/>
      <c r="H54" s="59"/>
      <c r="I54" s="59"/>
      <c r="J54" s="59"/>
      <c r="K54" s="59"/>
      <c r="L54" s="59"/>
      <c r="M54" s="59"/>
      <c r="N54" s="59"/>
      <c r="O54" s="59"/>
      <c r="P54" s="59"/>
      <c r="Q54" s="59"/>
      <c r="R54" s="59"/>
      <c r="S54" s="59"/>
      <c r="T54" s="59"/>
      <c r="U54" s="59"/>
      <c r="V54" s="59"/>
      <c r="W54" s="59"/>
      <c r="X54" s="59"/>
      <c r="Y54" s="59"/>
      <c r="Z54" s="59"/>
      <c r="AA54" s="59"/>
      <c r="AB54" s="59"/>
    </row>
    <row r="55" spans="4:28" ht="13.5" customHeight="1" x14ac:dyDescent="0.2">
      <c r="D55" s="59"/>
      <c r="E55" s="59"/>
      <c r="F55" s="59"/>
      <c r="G55" s="59"/>
      <c r="H55" s="59"/>
      <c r="I55" s="59"/>
      <c r="J55" s="59"/>
      <c r="K55" s="59"/>
      <c r="L55" s="59"/>
      <c r="M55" s="59"/>
      <c r="N55" s="59"/>
      <c r="O55" s="59"/>
      <c r="P55" s="59"/>
      <c r="Q55" s="59"/>
      <c r="R55" s="59"/>
      <c r="S55" s="59"/>
      <c r="T55" s="59"/>
      <c r="U55" s="59"/>
      <c r="V55" s="59"/>
      <c r="W55" s="59"/>
      <c r="X55" s="59"/>
      <c r="Y55" s="59"/>
      <c r="Z55" s="59"/>
      <c r="AA55" s="59"/>
      <c r="AB55" s="59"/>
    </row>
    <row r="56" spans="4:28" ht="13.5" customHeight="1" x14ac:dyDescent="0.2">
      <c r="D56" s="59"/>
      <c r="E56" s="59"/>
      <c r="F56" s="59"/>
      <c r="G56" s="59"/>
      <c r="H56" s="59"/>
      <c r="I56" s="59"/>
      <c r="J56" s="59"/>
      <c r="K56" s="59"/>
      <c r="L56" s="59"/>
      <c r="M56" s="59"/>
      <c r="N56" s="59"/>
      <c r="O56" s="59"/>
      <c r="P56" s="59"/>
      <c r="Q56" s="59"/>
      <c r="R56" s="59"/>
      <c r="S56" s="59"/>
      <c r="T56" s="59"/>
      <c r="U56" s="59"/>
      <c r="V56" s="59"/>
      <c r="W56" s="59"/>
      <c r="X56" s="59"/>
      <c r="Y56" s="59"/>
      <c r="Z56" s="59"/>
      <c r="AA56" s="59"/>
      <c r="AB56" s="59"/>
    </row>
    <row r="57" spans="4:28" ht="13.5" customHeight="1" x14ac:dyDescent="0.2">
      <c r="D57" s="59"/>
      <c r="E57" s="59"/>
      <c r="F57" s="59"/>
      <c r="G57" s="59"/>
      <c r="H57" s="59"/>
      <c r="I57" s="59"/>
      <c r="J57" s="59"/>
      <c r="K57" s="59"/>
      <c r="L57" s="59"/>
      <c r="M57" s="59"/>
      <c r="N57" s="59"/>
      <c r="O57" s="59"/>
      <c r="P57" s="59"/>
      <c r="Q57" s="59"/>
      <c r="R57" s="59"/>
      <c r="S57" s="59"/>
      <c r="T57" s="59"/>
      <c r="U57" s="59"/>
      <c r="V57" s="59"/>
      <c r="W57" s="59"/>
      <c r="X57" s="59"/>
      <c r="Y57" s="59"/>
      <c r="Z57" s="59"/>
      <c r="AA57" s="59"/>
      <c r="AB57" s="59"/>
    </row>
    <row r="58" spans="4:28" ht="13.5" customHeight="1" x14ac:dyDescent="0.2">
      <c r="D58" s="59"/>
      <c r="E58" s="59"/>
      <c r="F58" s="59"/>
      <c r="G58" s="59"/>
      <c r="H58" s="59"/>
      <c r="I58" s="59"/>
      <c r="J58" s="59"/>
      <c r="K58" s="59"/>
      <c r="L58" s="59"/>
      <c r="M58" s="59"/>
      <c r="N58" s="59"/>
      <c r="O58" s="59"/>
      <c r="P58" s="59"/>
      <c r="Q58" s="59"/>
      <c r="R58" s="59"/>
      <c r="S58" s="59"/>
      <c r="T58" s="59"/>
      <c r="U58" s="59"/>
      <c r="V58" s="59"/>
      <c r="W58" s="59"/>
      <c r="X58" s="59"/>
      <c r="Y58" s="59"/>
      <c r="Z58" s="59"/>
      <c r="AA58" s="59"/>
      <c r="AB58" s="59"/>
    </row>
    <row r="59" spans="4:28" ht="13.5" customHeight="1" x14ac:dyDescent="0.2">
      <c r="D59" s="59"/>
      <c r="E59" s="59"/>
      <c r="F59" s="59"/>
      <c r="G59" s="59"/>
      <c r="H59" s="59"/>
      <c r="I59" s="59"/>
      <c r="J59" s="59"/>
      <c r="K59" s="59"/>
      <c r="L59" s="59"/>
      <c r="M59" s="59"/>
      <c r="N59" s="59"/>
      <c r="O59" s="59"/>
      <c r="P59" s="59"/>
      <c r="Q59" s="59"/>
      <c r="R59" s="59"/>
      <c r="S59" s="59"/>
      <c r="T59" s="59"/>
      <c r="U59" s="59"/>
      <c r="V59" s="59"/>
      <c r="W59" s="59"/>
      <c r="X59" s="59"/>
      <c r="Y59" s="59"/>
      <c r="Z59" s="59"/>
      <c r="AA59" s="59"/>
      <c r="AB59" s="59"/>
    </row>
    <row r="60" spans="4:28" ht="13.5" customHeight="1" x14ac:dyDescent="0.2">
      <c r="D60" s="59"/>
      <c r="E60" s="59"/>
      <c r="F60" s="59"/>
      <c r="G60" s="59"/>
      <c r="H60" s="59"/>
      <c r="I60" s="59"/>
      <c r="J60" s="59"/>
      <c r="K60" s="59"/>
      <c r="L60" s="59"/>
      <c r="M60" s="59"/>
      <c r="N60" s="59"/>
      <c r="O60" s="59"/>
      <c r="P60" s="59"/>
      <c r="Q60" s="59"/>
      <c r="R60" s="59"/>
      <c r="S60" s="59"/>
      <c r="T60" s="59"/>
      <c r="U60" s="59"/>
      <c r="V60" s="59"/>
      <c r="W60" s="59"/>
      <c r="X60" s="59"/>
      <c r="Y60" s="59"/>
      <c r="Z60" s="59"/>
      <c r="AA60" s="59"/>
      <c r="AB60" s="59"/>
    </row>
    <row r="61" spans="4:28" ht="13.5" customHeight="1" x14ac:dyDescent="0.2">
      <c r="D61" s="59"/>
      <c r="E61" s="59"/>
      <c r="F61" s="59"/>
      <c r="G61" s="59"/>
      <c r="H61" s="59"/>
      <c r="I61" s="59"/>
      <c r="J61" s="59"/>
      <c r="K61" s="59"/>
      <c r="L61" s="59"/>
      <c r="M61" s="59"/>
      <c r="N61" s="59"/>
      <c r="O61" s="59"/>
      <c r="P61" s="59"/>
      <c r="Q61" s="59"/>
      <c r="R61" s="59"/>
      <c r="S61" s="59"/>
      <c r="T61" s="59"/>
      <c r="U61" s="59"/>
      <c r="V61" s="59"/>
      <c r="W61" s="59"/>
      <c r="X61" s="59"/>
      <c r="Y61" s="59"/>
      <c r="Z61" s="59"/>
      <c r="AA61" s="59"/>
      <c r="AB61" s="59"/>
    </row>
    <row r="62" spans="4:28" ht="13.5" customHeight="1" x14ac:dyDescent="0.2">
      <c r="D62" s="59"/>
      <c r="E62" s="59"/>
      <c r="F62" s="59"/>
      <c r="G62" s="59"/>
      <c r="H62" s="59"/>
      <c r="I62" s="59"/>
      <c r="J62" s="59"/>
      <c r="K62" s="59"/>
      <c r="L62" s="59"/>
      <c r="M62" s="59"/>
      <c r="N62" s="59"/>
      <c r="O62" s="59"/>
      <c r="P62" s="59"/>
      <c r="Q62" s="59"/>
      <c r="R62" s="59"/>
      <c r="S62" s="59"/>
      <c r="T62" s="59"/>
      <c r="U62" s="59"/>
      <c r="V62" s="59"/>
      <c r="W62" s="59"/>
      <c r="X62" s="59"/>
      <c r="Y62" s="59"/>
      <c r="Z62" s="59"/>
      <c r="AA62" s="59"/>
      <c r="AB62" s="59"/>
    </row>
    <row r="63" spans="4:28" ht="13.5" customHeight="1" x14ac:dyDescent="0.2">
      <c r="D63" s="59"/>
      <c r="E63" s="59"/>
      <c r="F63" s="59"/>
      <c r="G63" s="59"/>
      <c r="H63" s="59"/>
      <c r="I63" s="59"/>
      <c r="J63" s="59"/>
      <c r="K63" s="59"/>
      <c r="L63" s="59"/>
      <c r="M63" s="59"/>
      <c r="N63" s="59"/>
      <c r="O63" s="59"/>
      <c r="P63" s="59"/>
      <c r="Q63" s="59"/>
      <c r="R63" s="59"/>
      <c r="S63" s="59"/>
      <c r="T63" s="59"/>
      <c r="U63" s="59"/>
      <c r="V63" s="59"/>
      <c r="W63" s="59"/>
      <c r="X63" s="59"/>
      <c r="Y63" s="59"/>
      <c r="Z63" s="59"/>
      <c r="AA63" s="59"/>
      <c r="AB63" s="59"/>
    </row>
    <row r="64" spans="4:28" ht="13.5" customHeight="1" x14ac:dyDescent="0.2">
      <c r="D64" s="59"/>
      <c r="E64" s="59"/>
      <c r="F64" s="59"/>
      <c r="G64" s="59"/>
      <c r="H64" s="59"/>
      <c r="I64" s="59"/>
      <c r="J64" s="59"/>
      <c r="K64" s="59"/>
      <c r="L64" s="59"/>
      <c r="M64" s="59"/>
      <c r="N64" s="59"/>
      <c r="O64" s="59"/>
      <c r="P64" s="59"/>
      <c r="Q64" s="59"/>
      <c r="R64" s="59"/>
      <c r="S64" s="59"/>
      <c r="T64" s="59"/>
      <c r="U64" s="59"/>
      <c r="V64" s="59"/>
      <c r="W64" s="59"/>
      <c r="X64" s="59"/>
      <c r="Y64" s="59"/>
      <c r="Z64" s="59"/>
      <c r="AA64" s="59"/>
      <c r="AB64" s="59"/>
    </row>
    <row r="65" spans="4:28" ht="13.5" customHeight="1" x14ac:dyDescent="0.2">
      <c r="D65" s="59"/>
      <c r="E65" s="59"/>
      <c r="F65" s="59"/>
      <c r="G65" s="59"/>
      <c r="H65" s="59"/>
      <c r="I65" s="59"/>
      <c r="J65" s="59"/>
      <c r="K65" s="59"/>
      <c r="L65" s="59"/>
      <c r="M65" s="59"/>
      <c r="N65" s="59"/>
      <c r="O65" s="59"/>
      <c r="P65" s="59"/>
      <c r="Q65" s="59"/>
      <c r="R65" s="59"/>
      <c r="S65" s="59"/>
      <c r="T65" s="59"/>
      <c r="U65" s="59"/>
      <c r="V65" s="59"/>
      <c r="W65" s="59"/>
      <c r="X65" s="59"/>
      <c r="Y65" s="59"/>
      <c r="Z65" s="59"/>
      <c r="AA65" s="59"/>
      <c r="AB65" s="59"/>
    </row>
    <row r="66" spans="4:28" ht="13.5" customHeight="1" x14ac:dyDescent="0.2">
      <c r="D66" s="59"/>
      <c r="E66" s="59"/>
      <c r="F66" s="59"/>
      <c r="G66" s="59"/>
      <c r="H66" s="59"/>
      <c r="I66" s="59"/>
      <c r="J66" s="59"/>
      <c r="K66" s="59"/>
      <c r="L66" s="59"/>
      <c r="M66" s="59"/>
      <c r="N66" s="59"/>
      <c r="O66" s="59"/>
      <c r="P66" s="59"/>
      <c r="Q66" s="59"/>
      <c r="R66" s="59"/>
      <c r="S66" s="59"/>
      <c r="T66" s="59"/>
      <c r="U66" s="59"/>
      <c r="V66" s="59"/>
      <c r="W66" s="59"/>
      <c r="X66" s="59"/>
      <c r="Y66" s="59"/>
      <c r="Z66" s="59"/>
      <c r="AA66" s="59"/>
      <c r="AB66" s="59"/>
    </row>
    <row r="67" spans="4:28" ht="13.5" customHeight="1" x14ac:dyDescent="0.2">
      <c r="D67" s="59"/>
      <c r="E67" s="59"/>
      <c r="F67" s="59"/>
      <c r="G67" s="59"/>
      <c r="H67" s="59"/>
      <c r="I67" s="59"/>
      <c r="J67" s="59"/>
      <c r="K67" s="59"/>
      <c r="L67" s="59"/>
      <c r="M67" s="59"/>
      <c r="N67" s="59"/>
      <c r="O67" s="59"/>
      <c r="P67" s="59"/>
      <c r="Q67" s="59"/>
      <c r="R67" s="59"/>
      <c r="S67" s="59"/>
      <c r="T67" s="59"/>
      <c r="U67" s="59"/>
      <c r="V67" s="59"/>
      <c r="W67" s="59"/>
      <c r="X67" s="59"/>
      <c r="Y67" s="59"/>
      <c r="Z67" s="59"/>
      <c r="AA67" s="59"/>
      <c r="AB67" s="59"/>
    </row>
    <row r="68" spans="4:28" ht="13.5" customHeight="1" x14ac:dyDescent="0.2">
      <c r="D68" s="59"/>
      <c r="E68" s="59"/>
      <c r="F68" s="59"/>
      <c r="G68" s="59"/>
      <c r="H68" s="59"/>
      <c r="I68" s="59"/>
      <c r="J68" s="59"/>
      <c r="K68" s="59"/>
      <c r="L68" s="59"/>
      <c r="M68" s="59"/>
      <c r="N68" s="59"/>
      <c r="O68" s="59"/>
      <c r="P68" s="59"/>
      <c r="Q68" s="59"/>
      <c r="R68" s="59"/>
      <c r="S68" s="59"/>
      <c r="T68" s="59"/>
      <c r="U68" s="59"/>
      <c r="V68" s="59"/>
      <c r="W68" s="59"/>
      <c r="X68" s="59"/>
      <c r="Y68" s="59"/>
      <c r="Z68" s="59"/>
      <c r="AA68" s="59"/>
      <c r="AB68" s="59"/>
    </row>
    <row r="69" spans="4:28" ht="13.5" customHeight="1" x14ac:dyDescent="0.2">
      <c r="D69" s="59"/>
      <c r="E69" s="59"/>
      <c r="F69" s="59"/>
      <c r="G69" s="59"/>
      <c r="H69" s="59"/>
      <c r="I69" s="59"/>
      <c r="J69" s="59"/>
      <c r="K69" s="59"/>
      <c r="L69" s="59"/>
      <c r="M69" s="59"/>
      <c r="N69" s="59"/>
      <c r="O69" s="59"/>
      <c r="P69" s="59"/>
      <c r="Q69" s="59"/>
      <c r="R69" s="59"/>
      <c r="S69" s="59"/>
      <c r="T69" s="59"/>
      <c r="U69" s="59"/>
      <c r="V69" s="59"/>
      <c r="W69" s="59"/>
      <c r="X69" s="59"/>
      <c r="Y69" s="59"/>
      <c r="Z69" s="59"/>
      <c r="AA69" s="59"/>
      <c r="AB69" s="59"/>
    </row>
    <row r="70" spans="4:28" ht="13.5" customHeight="1" x14ac:dyDescent="0.2">
      <c r="D70" s="59"/>
      <c r="E70" s="59"/>
      <c r="F70" s="59"/>
      <c r="G70" s="59"/>
      <c r="H70" s="59"/>
      <c r="I70" s="59"/>
      <c r="J70" s="59"/>
      <c r="K70" s="59"/>
      <c r="L70" s="59"/>
      <c r="M70" s="59"/>
      <c r="N70" s="59"/>
      <c r="O70" s="59"/>
      <c r="P70" s="59"/>
      <c r="Q70" s="59"/>
      <c r="R70" s="59"/>
      <c r="S70" s="59"/>
      <c r="T70" s="59"/>
      <c r="U70" s="59"/>
      <c r="V70" s="59"/>
      <c r="W70" s="59"/>
      <c r="X70" s="59"/>
      <c r="Y70" s="59"/>
      <c r="Z70" s="59"/>
      <c r="AA70" s="59"/>
      <c r="AB70" s="59"/>
    </row>
    <row r="71" spans="4:28" ht="13.5" customHeight="1" x14ac:dyDescent="0.2">
      <c r="D71" s="59"/>
      <c r="E71" s="59"/>
      <c r="F71" s="59"/>
      <c r="G71" s="59"/>
      <c r="H71" s="59"/>
      <c r="I71" s="59"/>
      <c r="J71" s="59"/>
      <c r="K71" s="59"/>
      <c r="L71" s="59"/>
      <c r="M71" s="59"/>
      <c r="N71" s="59"/>
      <c r="O71" s="59"/>
      <c r="P71" s="59"/>
      <c r="Q71" s="59"/>
      <c r="R71" s="59"/>
      <c r="S71" s="59"/>
      <c r="T71" s="59"/>
      <c r="U71" s="59"/>
      <c r="V71" s="59"/>
      <c r="W71" s="59"/>
      <c r="X71" s="59"/>
      <c r="Y71" s="59"/>
      <c r="Z71" s="59"/>
      <c r="AA71" s="59"/>
      <c r="AB71" s="59"/>
    </row>
    <row r="72" spans="4:28" ht="13.5" customHeight="1" x14ac:dyDescent="0.2">
      <c r="D72" s="59"/>
      <c r="E72" s="59"/>
      <c r="F72" s="59"/>
      <c r="G72" s="59"/>
      <c r="H72" s="59"/>
      <c r="I72" s="59"/>
      <c r="J72" s="59"/>
      <c r="K72" s="59"/>
      <c r="L72" s="59"/>
      <c r="M72" s="59"/>
      <c r="N72" s="59"/>
      <c r="O72" s="59"/>
      <c r="P72" s="59"/>
      <c r="Q72" s="59"/>
      <c r="R72" s="59"/>
      <c r="S72" s="59"/>
      <c r="T72" s="59"/>
      <c r="U72" s="59"/>
      <c r="V72" s="59"/>
      <c r="W72" s="59"/>
      <c r="X72" s="59"/>
      <c r="Y72" s="59"/>
      <c r="Z72" s="59"/>
      <c r="AA72" s="59"/>
      <c r="AB72" s="59"/>
    </row>
    <row r="73" spans="4:28" ht="13.5" customHeight="1" x14ac:dyDescent="0.2">
      <c r="D73" s="59"/>
      <c r="E73" s="59"/>
      <c r="F73" s="59"/>
      <c r="G73" s="59"/>
      <c r="H73" s="59"/>
      <c r="I73" s="59"/>
      <c r="J73" s="59"/>
      <c r="K73" s="59"/>
      <c r="L73" s="59"/>
      <c r="M73" s="59"/>
      <c r="N73" s="59"/>
      <c r="O73" s="59"/>
      <c r="P73" s="59"/>
      <c r="Q73" s="59"/>
      <c r="R73" s="59"/>
      <c r="S73" s="59"/>
      <c r="T73" s="59"/>
      <c r="U73" s="59"/>
      <c r="V73" s="59"/>
      <c r="W73" s="59"/>
      <c r="X73" s="59"/>
      <c r="Y73" s="59"/>
      <c r="Z73" s="59"/>
      <c r="AA73" s="59"/>
      <c r="AB73" s="59"/>
    </row>
    <row r="74" spans="4:28" ht="13.5" customHeight="1" x14ac:dyDescent="0.2">
      <c r="D74" s="59"/>
      <c r="E74" s="59"/>
      <c r="F74" s="59"/>
      <c r="G74" s="59"/>
      <c r="H74" s="59"/>
      <c r="I74" s="59"/>
      <c r="J74" s="59"/>
      <c r="K74" s="59"/>
      <c r="L74" s="59"/>
      <c r="M74" s="59"/>
      <c r="N74" s="59"/>
      <c r="O74" s="59"/>
      <c r="P74" s="59"/>
      <c r="Q74" s="59"/>
      <c r="R74" s="59"/>
      <c r="S74" s="59"/>
      <c r="T74" s="59"/>
      <c r="U74" s="59"/>
      <c r="V74" s="59"/>
      <c r="W74" s="59"/>
      <c r="X74" s="59"/>
      <c r="Y74" s="59"/>
      <c r="Z74" s="59"/>
      <c r="AA74" s="59"/>
      <c r="AB74" s="59"/>
    </row>
    <row r="75" spans="4:28" ht="13.5" customHeight="1" x14ac:dyDescent="0.2">
      <c r="D75" s="59"/>
      <c r="E75" s="59"/>
      <c r="F75" s="59"/>
      <c r="G75" s="59"/>
      <c r="H75" s="59"/>
      <c r="I75" s="59"/>
      <c r="J75" s="59"/>
      <c r="K75" s="59"/>
      <c r="L75" s="59"/>
      <c r="M75" s="59"/>
      <c r="N75" s="59"/>
      <c r="O75" s="59"/>
      <c r="P75" s="59"/>
      <c r="Q75" s="59"/>
      <c r="R75" s="59"/>
      <c r="S75" s="59"/>
      <c r="T75" s="59"/>
      <c r="U75" s="59"/>
      <c r="V75" s="59"/>
      <c r="W75" s="59"/>
      <c r="X75" s="59"/>
      <c r="Y75" s="59"/>
      <c r="Z75" s="59"/>
      <c r="AA75" s="59"/>
      <c r="AB75" s="59"/>
    </row>
    <row r="76" spans="4:28" ht="13.5" customHeight="1" x14ac:dyDescent="0.2">
      <c r="D76" s="59"/>
      <c r="E76" s="59"/>
      <c r="F76" s="59"/>
      <c r="G76" s="59"/>
      <c r="H76" s="59"/>
      <c r="I76" s="59"/>
      <c r="J76" s="59"/>
      <c r="K76" s="59"/>
      <c r="L76" s="59"/>
      <c r="M76" s="59"/>
      <c r="N76" s="59"/>
      <c r="O76" s="59"/>
      <c r="P76" s="59"/>
      <c r="Q76" s="59"/>
      <c r="R76" s="59"/>
      <c r="S76" s="59"/>
      <c r="T76" s="59"/>
      <c r="U76" s="59"/>
      <c r="V76" s="59"/>
      <c r="W76" s="59"/>
      <c r="X76" s="59"/>
      <c r="Y76" s="59"/>
      <c r="Z76" s="59"/>
      <c r="AA76" s="59"/>
      <c r="AB76" s="59"/>
    </row>
    <row r="77" spans="4:28" ht="13.5" customHeight="1" x14ac:dyDescent="0.2">
      <c r="D77" s="59"/>
      <c r="E77" s="59"/>
      <c r="F77" s="59"/>
      <c r="G77" s="59"/>
      <c r="H77" s="59"/>
      <c r="I77" s="59"/>
      <c r="J77" s="59"/>
      <c r="K77" s="59"/>
      <c r="L77" s="59"/>
      <c r="M77" s="59"/>
      <c r="N77" s="59"/>
      <c r="O77" s="59"/>
      <c r="P77" s="59"/>
      <c r="Q77" s="59"/>
      <c r="R77" s="59"/>
      <c r="S77" s="59"/>
      <c r="T77" s="59"/>
      <c r="U77" s="59"/>
      <c r="V77" s="59"/>
      <c r="W77" s="59"/>
      <c r="X77" s="59"/>
      <c r="Y77" s="59"/>
      <c r="Z77" s="59"/>
      <c r="AA77" s="59"/>
      <c r="AB77" s="59"/>
    </row>
    <row r="78" spans="4:28" ht="13.5" customHeight="1" x14ac:dyDescent="0.2">
      <c r="D78" s="59"/>
      <c r="E78" s="59"/>
      <c r="F78" s="59"/>
      <c r="G78" s="59"/>
      <c r="H78" s="59"/>
      <c r="I78" s="59"/>
      <c r="J78" s="59"/>
      <c r="K78" s="59"/>
      <c r="L78" s="59"/>
      <c r="M78" s="59"/>
      <c r="N78" s="59"/>
      <c r="O78" s="59"/>
      <c r="P78" s="59"/>
      <c r="Q78" s="59"/>
      <c r="R78" s="59"/>
      <c r="S78" s="59"/>
      <c r="T78" s="59"/>
      <c r="U78" s="59"/>
      <c r="V78" s="59"/>
      <c r="W78" s="59"/>
      <c r="X78" s="59"/>
      <c r="Y78" s="59"/>
      <c r="Z78" s="59"/>
      <c r="AA78" s="59"/>
      <c r="AB78" s="59"/>
    </row>
    <row r="79" spans="4:28" ht="13.5" customHeight="1" x14ac:dyDescent="0.2">
      <c r="D79" s="59"/>
      <c r="E79" s="59"/>
      <c r="F79" s="59"/>
      <c r="G79" s="59"/>
      <c r="H79" s="59"/>
      <c r="I79" s="59"/>
      <c r="J79" s="59"/>
      <c r="K79" s="59"/>
      <c r="L79" s="59"/>
      <c r="M79" s="59"/>
      <c r="N79" s="59"/>
      <c r="O79" s="59"/>
      <c r="P79" s="59"/>
      <c r="Q79" s="59"/>
      <c r="R79" s="59"/>
      <c r="S79" s="59"/>
      <c r="T79" s="59"/>
      <c r="U79" s="59"/>
      <c r="V79" s="59"/>
      <c r="W79" s="59"/>
      <c r="X79" s="59"/>
      <c r="Y79" s="59"/>
      <c r="Z79" s="59"/>
      <c r="AA79" s="59"/>
      <c r="AB79" s="59"/>
    </row>
    <row r="80" spans="4:28" ht="13.5" customHeight="1" x14ac:dyDescent="0.2">
      <c r="D80" s="59"/>
      <c r="E80" s="59"/>
      <c r="F80" s="59"/>
      <c r="G80" s="59"/>
      <c r="H80" s="59"/>
      <c r="I80" s="59"/>
      <c r="J80" s="59"/>
      <c r="K80" s="59"/>
      <c r="L80" s="59"/>
      <c r="M80" s="59"/>
      <c r="N80" s="59"/>
      <c r="O80" s="59"/>
      <c r="P80" s="59"/>
      <c r="Q80" s="59"/>
      <c r="R80" s="59"/>
      <c r="S80" s="59"/>
      <c r="T80" s="59"/>
      <c r="U80" s="59"/>
      <c r="V80" s="59"/>
      <c r="W80" s="59"/>
      <c r="X80" s="59"/>
      <c r="Y80" s="59"/>
      <c r="Z80" s="59"/>
      <c r="AA80" s="59"/>
      <c r="AB80" s="59"/>
    </row>
    <row r="81" spans="4:28" ht="13.5" customHeight="1" x14ac:dyDescent="0.2">
      <c r="D81" s="59"/>
      <c r="E81" s="59"/>
      <c r="F81" s="59"/>
      <c r="G81" s="59"/>
      <c r="H81" s="59"/>
      <c r="I81" s="59"/>
      <c r="J81" s="59"/>
      <c r="K81" s="59"/>
      <c r="L81" s="59"/>
      <c r="M81" s="59"/>
      <c r="N81" s="59"/>
      <c r="O81" s="59"/>
      <c r="P81" s="59"/>
      <c r="Q81" s="59"/>
      <c r="R81" s="59"/>
      <c r="S81" s="59"/>
      <c r="T81" s="59"/>
      <c r="U81" s="59"/>
      <c r="V81" s="59"/>
      <c r="W81" s="59"/>
      <c r="X81" s="59"/>
      <c r="Y81" s="59"/>
      <c r="Z81" s="59"/>
      <c r="AA81" s="59"/>
      <c r="AB81" s="59"/>
    </row>
    <row r="82" spans="4:28" ht="13.5" customHeight="1" x14ac:dyDescent="0.2">
      <c r="D82" s="59"/>
      <c r="E82" s="59"/>
      <c r="F82" s="59"/>
      <c r="G82" s="59"/>
      <c r="H82" s="59"/>
      <c r="I82" s="59"/>
      <c r="J82" s="59"/>
      <c r="K82" s="59"/>
      <c r="L82" s="59"/>
      <c r="M82" s="59"/>
      <c r="N82" s="59"/>
      <c r="O82" s="59"/>
      <c r="P82" s="59"/>
      <c r="Q82" s="59"/>
      <c r="R82" s="59"/>
      <c r="S82" s="59"/>
      <c r="T82" s="59"/>
      <c r="U82" s="59"/>
      <c r="V82" s="59"/>
      <c r="W82" s="59"/>
      <c r="X82" s="59"/>
      <c r="Y82" s="59"/>
      <c r="Z82" s="59"/>
      <c r="AA82" s="59"/>
      <c r="AB82" s="59"/>
    </row>
    <row r="83" spans="4:28" ht="13.5" customHeight="1" x14ac:dyDescent="0.2">
      <c r="D83" s="59"/>
      <c r="E83" s="59"/>
      <c r="F83" s="59"/>
      <c r="G83" s="59"/>
      <c r="H83" s="59"/>
      <c r="I83" s="59"/>
      <c r="J83" s="59"/>
      <c r="K83" s="59"/>
      <c r="L83" s="59"/>
      <c r="M83" s="59"/>
      <c r="N83" s="59"/>
      <c r="O83" s="59"/>
      <c r="P83" s="59"/>
      <c r="Q83" s="59"/>
      <c r="R83" s="59"/>
      <c r="S83" s="59"/>
      <c r="T83" s="59"/>
      <c r="U83" s="59"/>
      <c r="V83" s="59"/>
      <c r="W83" s="59"/>
      <c r="X83" s="59"/>
      <c r="Y83" s="59"/>
      <c r="Z83" s="59"/>
      <c r="AA83" s="59"/>
      <c r="AB83" s="59"/>
    </row>
    <row r="84" spans="4:28" ht="13.5" customHeight="1" x14ac:dyDescent="0.2">
      <c r="D84" s="59"/>
      <c r="E84" s="59"/>
      <c r="F84" s="59"/>
      <c r="G84" s="59"/>
      <c r="H84" s="59"/>
      <c r="I84" s="59"/>
      <c r="J84" s="59"/>
      <c r="K84" s="59"/>
      <c r="L84" s="59"/>
      <c r="M84" s="59"/>
      <c r="N84" s="59"/>
      <c r="O84" s="59"/>
      <c r="P84" s="59"/>
      <c r="Q84" s="59"/>
      <c r="R84" s="59"/>
      <c r="S84" s="59"/>
      <c r="T84" s="59"/>
      <c r="U84" s="59"/>
      <c r="V84" s="59"/>
      <c r="W84" s="59"/>
      <c r="X84" s="59"/>
      <c r="Y84" s="59"/>
      <c r="Z84" s="59"/>
      <c r="AA84" s="59"/>
      <c r="AB84" s="59"/>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71"/>
  <sheetViews>
    <sheetView view="pageBreakPreview" zoomScale="80" zoomScaleNormal="80" zoomScaleSheetLayoutView="80" workbookViewId="0">
      <selection activeCell="R13" sqref="R13"/>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6" t="s">
        <v>0</v>
      </c>
      <c r="C1" s="56"/>
      <c r="D1" s="56"/>
      <c r="E1" s="56"/>
      <c r="F1" s="56"/>
      <c r="G1" s="56"/>
      <c r="H1" s="56"/>
      <c r="I1" s="56"/>
      <c r="J1" s="56"/>
      <c r="K1" s="56"/>
      <c r="L1" s="56"/>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69.75" customHeight="1" thickTop="1" x14ac:dyDescent="0.2">
      <c r="B4" s="8" t="s">
        <v>6</v>
      </c>
      <c r="C4" s="9" t="s">
        <v>7</v>
      </c>
      <c r="D4" s="77" t="s">
        <v>8</v>
      </c>
      <c r="E4" s="77"/>
      <c r="F4" s="77"/>
      <c r="G4" s="77"/>
      <c r="H4" s="77"/>
      <c r="I4" s="10"/>
      <c r="J4" s="11" t="s">
        <v>9</v>
      </c>
      <c r="K4" s="12" t="s">
        <v>10</v>
      </c>
      <c r="L4" s="78" t="s">
        <v>11</v>
      </c>
      <c r="M4" s="78"/>
      <c r="N4" s="78"/>
      <c r="O4" s="78"/>
      <c r="P4" s="11" t="s">
        <v>12</v>
      </c>
      <c r="Q4" s="78" t="s">
        <v>13</v>
      </c>
      <c r="R4" s="78"/>
      <c r="S4" s="11" t="s">
        <v>14</v>
      </c>
      <c r="T4" s="78"/>
      <c r="U4" s="79"/>
    </row>
    <row r="5" spans="1:21" ht="15.75" customHeight="1" x14ac:dyDescent="0.2">
      <c r="B5" s="80" t="s">
        <v>15</v>
      </c>
      <c r="C5" s="81"/>
      <c r="D5" s="81"/>
      <c r="E5" s="81"/>
      <c r="F5" s="81"/>
      <c r="G5" s="81"/>
      <c r="H5" s="81"/>
      <c r="I5" s="81"/>
      <c r="J5" s="81"/>
      <c r="K5" s="81"/>
      <c r="L5" s="81"/>
      <c r="M5" s="81"/>
      <c r="N5" s="81"/>
      <c r="O5" s="81"/>
      <c r="P5" s="81"/>
      <c r="Q5" s="81"/>
      <c r="R5" s="81"/>
      <c r="S5" s="81"/>
      <c r="T5" s="81"/>
      <c r="U5" s="82"/>
    </row>
    <row r="6" spans="1:21" ht="44.25" customHeight="1" thickBot="1" x14ac:dyDescent="0.25">
      <c r="B6" s="13" t="s">
        <v>16</v>
      </c>
      <c r="C6" s="88" t="s">
        <v>17</v>
      </c>
      <c r="D6" s="88"/>
      <c r="E6" s="88"/>
      <c r="F6" s="88"/>
      <c r="G6" s="88"/>
      <c r="H6" s="14"/>
      <c r="I6" s="14"/>
      <c r="J6" s="14" t="s">
        <v>18</v>
      </c>
      <c r="K6" s="88" t="s">
        <v>19</v>
      </c>
      <c r="L6" s="88"/>
      <c r="M6" s="88"/>
      <c r="N6" s="15"/>
      <c r="O6" s="16" t="s">
        <v>20</v>
      </c>
      <c r="P6" s="88" t="s">
        <v>21</v>
      </c>
      <c r="Q6" s="88"/>
      <c r="R6" s="17"/>
      <c r="S6" s="16" t="s">
        <v>22</v>
      </c>
      <c r="T6" s="88" t="s">
        <v>23</v>
      </c>
      <c r="U6" s="89"/>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0" t="s">
        <v>25</v>
      </c>
      <c r="C8" s="63" t="s">
        <v>26</v>
      </c>
      <c r="D8" s="63"/>
      <c r="E8" s="63"/>
      <c r="F8" s="63"/>
      <c r="G8" s="63"/>
      <c r="H8" s="64"/>
      <c r="I8" s="69" t="s">
        <v>27</v>
      </c>
      <c r="J8" s="70"/>
      <c r="K8" s="70"/>
      <c r="L8" s="70"/>
      <c r="M8" s="70"/>
      <c r="N8" s="70"/>
      <c r="O8" s="70"/>
      <c r="P8" s="70"/>
      <c r="Q8" s="70"/>
      <c r="R8" s="70"/>
      <c r="S8" s="71"/>
      <c r="T8" s="72" t="s">
        <v>28</v>
      </c>
      <c r="U8" s="73"/>
    </row>
    <row r="9" spans="1:21" ht="19.5" customHeight="1" x14ac:dyDescent="0.2">
      <c r="B9" s="61"/>
      <c r="C9" s="65"/>
      <c r="D9" s="65"/>
      <c r="E9" s="65"/>
      <c r="F9" s="65"/>
      <c r="G9" s="65"/>
      <c r="H9" s="66"/>
      <c r="I9" s="74" t="s">
        <v>29</v>
      </c>
      <c r="J9" s="63"/>
      <c r="K9" s="63"/>
      <c r="L9" s="63" t="s">
        <v>30</v>
      </c>
      <c r="M9" s="63"/>
      <c r="N9" s="63"/>
      <c r="O9" s="63"/>
      <c r="P9" s="63" t="s">
        <v>31</v>
      </c>
      <c r="Q9" s="63" t="s">
        <v>32</v>
      </c>
      <c r="R9" s="83" t="s">
        <v>33</v>
      </c>
      <c r="S9" s="84"/>
      <c r="T9" s="63" t="s">
        <v>34</v>
      </c>
      <c r="U9" s="85" t="s">
        <v>35</v>
      </c>
    </row>
    <row r="10" spans="1:21" ht="26.25" customHeight="1" thickBot="1" x14ac:dyDescent="0.25">
      <c r="B10" s="62"/>
      <c r="C10" s="67"/>
      <c r="D10" s="67"/>
      <c r="E10" s="67"/>
      <c r="F10" s="67"/>
      <c r="G10" s="67"/>
      <c r="H10" s="68"/>
      <c r="I10" s="75"/>
      <c r="J10" s="76"/>
      <c r="K10" s="76"/>
      <c r="L10" s="76"/>
      <c r="M10" s="76"/>
      <c r="N10" s="76"/>
      <c r="O10" s="76"/>
      <c r="P10" s="76"/>
      <c r="Q10" s="76"/>
      <c r="R10" s="19" t="s">
        <v>36</v>
      </c>
      <c r="S10" s="20" t="s">
        <v>37</v>
      </c>
      <c r="T10" s="76"/>
      <c r="U10" s="86"/>
    </row>
    <row r="11" spans="1:21" ht="81.75" customHeight="1" thickTop="1" x14ac:dyDescent="0.2">
      <c r="A11" s="21"/>
      <c r="B11" s="22" t="s">
        <v>38</v>
      </c>
      <c r="C11" s="87" t="s">
        <v>39</v>
      </c>
      <c r="D11" s="87"/>
      <c r="E11" s="87"/>
      <c r="F11" s="87"/>
      <c r="G11" s="87"/>
      <c r="H11" s="87"/>
      <c r="I11" s="87" t="s">
        <v>40</v>
      </c>
      <c r="J11" s="87"/>
      <c r="K11" s="87"/>
      <c r="L11" s="87" t="s">
        <v>41</v>
      </c>
      <c r="M11" s="87"/>
      <c r="N11" s="87"/>
      <c r="O11" s="87"/>
      <c r="P11" s="23" t="s">
        <v>42</v>
      </c>
      <c r="Q11" s="23" t="s">
        <v>43</v>
      </c>
      <c r="R11" s="23">
        <v>3.8</v>
      </c>
      <c r="S11" s="23">
        <v>3.8</v>
      </c>
      <c r="T11" s="23">
        <v>5</v>
      </c>
      <c r="U11" s="45">
        <f>131.6</f>
        <v>131.6</v>
      </c>
    </row>
    <row r="12" spans="1:21" ht="81.75" customHeight="1" thickBot="1" x14ac:dyDescent="0.25">
      <c r="A12" s="21"/>
      <c r="B12" s="24" t="s">
        <v>44</v>
      </c>
      <c r="C12" s="90" t="s">
        <v>44</v>
      </c>
      <c r="D12" s="90"/>
      <c r="E12" s="90"/>
      <c r="F12" s="90"/>
      <c r="G12" s="90"/>
      <c r="H12" s="90"/>
      <c r="I12" s="90" t="s">
        <v>45</v>
      </c>
      <c r="J12" s="90"/>
      <c r="K12" s="90"/>
      <c r="L12" s="90" t="s">
        <v>46</v>
      </c>
      <c r="M12" s="90"/>
      <c r="N12" s="90"/>
      <c r="O12" s="90"/>
      <c r="P12" s="25" t="s">
        <v>42</v>
      </c>
      <c r="Q12" s="25" t="s">
        <v>43</v>
      </c>
      <c r="R12" s="25">
        <v>1.26</v>
      </c>
      <c r="S12" s="25">
        <v>1.26</v>
      </c>
      <c r="T12" s="25">
        <v>0</v>
      </c>
      <c r="U12" s="46">
        <f>0</f>
        <v>0</v>
      </c>
    </row>
    <row r="13" spans="1:21" ht="126" customHeight="1" thickTop="1" x14ac:dyDescent="0.2">
      <c r="A13" s="21"/>
      <c r="B13" s="22" t="s">
        <v>47</v>
      </c>
      <c r="C13" s="87" t="s">
        <v>48</v>
      </c>
      <c r="D13" s="87"/>
      <c r="E13" s="87"/>
      <c r="F13" s="87"/>
      <c r="G13" s="87"/>
      <c r="H13" s="87"/>
      <c r="I13" s="87" t="s">
        <v>49</v>
      </c>
      <c r="J13" s="87"/>
      <c r="K13" s="87"/>
      <c r="L13" s="87" t="s">
        <v>50</v>
      </c>
      <c r="M13" s="87"/>
      <c r="N13" s="87"/>
      <c r="O13" s="87"/>
      <c r="P13" s="23" t="s">
        <v>42</v>
      </c>
      <c r="Q13" s="23" t="s">
        <v>43</v>
      </c>
      <c r="R13" s="23">
        <v>16.600000000000001</v>
      </c>
      <c r="S13" s="23">
        <v>16.600000000000001</v>
      </c>
      <c r="T13" s="23">
        <v>10.1</v>
      </c>
      <c r="U13" s="45">
        <f>60.8</f>
        <v>60.8</v>
      </c>
    </row>
    <row r="14" spans="1:21" ht="75" customHeight="1" thickBot="1" x14ac:dyDescent="0.25">
      <c r="A14" s="21"/>
      <c r="B14" s="24" t="s">
        <v>44</v>
      </c>
      <c r="C14" s="90" t="s">
        <v>44</v>
      </c>
      <c r="D14" s="90"/>
      <c r="E14" s="90"/>
      <c r="F14" s="90"/>
      <c r="G14" s="90"/>
      <c r="H14" s="90"/>
      <c r="I14" s="90" t="s">
        <v>51</v>
      </c>
      <c r="J14" s="90"/>
      <c r="K14" s="90"/>
      <c r="L14" s="90" t="s">
        <v>52</v>
      </c>
      <c r="M14" s="90"/>
      <c r="N14" s="90"/>
      <c r="O14" s="90"/>
      <c r="P14" s="25" t="s">
        <v>42</v>
      </c>
      <c r="Q14" s="25" t="s">
        <v>43</v>
      </c>
      <c r="R14" s="25">
        <v>11</v>
      </c>
      <c r="S14" s="25">
        <v>21</v>
      </c>
      <c r="T14" s="25">
        <v>0</v>
      </c>
      <c r="U14" s="46">
        <f>0</f>
        <v>0</v>
      </c>
    </row>
    <row r="15" spans="1:21" ht="75" customHeight="1" thickTop="1" x14ac:dyDescent="0.2">
      <c r="A15" s="21"/>
      <c r="B15" s="22" t="s">
        <v>53</v>
      </c>
      <c r="C15" s="87" t="s">
        <v>54</v>
      </c>
      <c r="D15" s="87"/>
      <c r="E15" s="87"/>
      <c r="F15" s="87"/>
      <c r="G15" s="87"/>
      <c r="H15" s="87"/>
      <c r="I15" s="87" t="s">
        <v>55</v>
      </c>
      <c r="J15" s="87"/>
      <c r="K15" s="87"/>
      <c r="L15" s="87" t="s">
        <v>56</v>
      </c>
      <c r="M15" s="87"/>
      <c r="N15" s="87"/>
      <c r="O15" s="87"/>
      <c r="P15" s="23" t="s">
        <v>42</v>
      </c>
      <c r="Q15" s="23" t="s">
        <v>57</v>
      </c>
      <c r="R15" s="23">
        <v>90</v>
      </c>
      <c r="S15" s="23">
        <v>90</v>
      </c>
      <c r="T15" s="23">
        <v>92</v>
      </c>
      <c r="U15" s="45">
        <f>102</f>
        <v>102</v>
      </c>
    </row>
    <row r="16" spans="1:21" ht="90" customHeight="1" x14ac:dyDescent="0.2">
      <c r="A16" s="21"/>
      <c r="B16" s="24" t="s">
        <v>44</v>
      </c>
      <c r="C16" s="90" t="s">
        <v>58</v>
      </c>
      <c r="D16" s="90"/>
      <c r="E16" s="90"/>
      <c r="F16" s="90"/>
      <c r="G16" s="90"/>
      <c r="H16" s="90"/>
      <c r="I16" s="90" t="s">
        <v>59</v>
      </c>
      <c r="J16" s="90"/>
      <c r="K16" s="90"/>
      <c r="L16" s="90" t="s">
        <v>60</v>
      </c>
      <c r="M16" s="90"/>
      <c r="N16" s="90"/>
      <c r="O16" s="90"/>
      <c r="P16" s="25" t="s">
        <v>42</v>
      </c>
      <c r="Q16" s="25" t="s">
        <v>61</v>
      </c>
      <c r="R16" s="25">
        <v>2200</v>
      </c>
      <c r="S16" s="25">
        <v>52</v>
      </c>
      <c r="T16" s="25">
        <v>48.1</v>
      </c>
      <c r="U16" s="46">
        <f>92.5</f>
        <v>92.5</v>
      </c>
    </row>
    <row r="17" spans="1:21" ht="111.75" customHeight="1" thickBot="1" x14ac:dyDescent="0.25">
      <c r="A17" s="21"/>
      <c r="B17" s="24" t="s">
        <v>44</v>
      </c>
      <c r="C17" s="90" t="s">
        <v>44</v>
      </c>
      <c r="D17" s="90"/>
      <c r="E17" s="90"/>
      <c r="F17" s="90"/>
      <c r="G17" s="90"/>
      <c r="H17" s="90"/>
      <c r="I17" s="90" t="s">
        <v>62</v>
      </c>
      <c r="J17" s="90"/>
      <c r="K17" s="90"/>
      <c r="L17" s="90" t="s">
        <v>63</v>
      </c>
      <c r="M17" s="90"/>
      <c r="N17" s="90"/>
      <c r="O17" s="90"/>
      <c r="P17" s="25" t="s">
        <v>42</v>
      </c>
      <c r="Q17" s="25" t="s">
        <v>61</v>
      </c>
      <c r="R17" s="25">
        <v>150</v>
      </c>
      <c r="S17" s="25">
        <v>3</v>
      </c>
      <c r="T17" s="25">
        <v>1.4</v>
      </c>
      <c r="U17" s="46">
        <f>46.7</f>
        <v>46.7</v>
      </c>
    </row>
    <row r="18" spans="1:21" ht="75" customHeight="1" thickTop="1" x14ac:dyDescent="0.2">
      <c r="A18" s="21"/>
      <c r="B18" s="22" t="s">
        <v>64</v>
      </c>
      <c r="C18" s="87" t="s">
        <v>65</v>
      </c>
      <c r="D18" s="87"/>
      <c r="E18" s="87"/>
      <c r="F18" s="87"/>
      <c r="G18" s="87"/>
      <c r="H18" s="87"/>
      <c r="I18" s="87" t="s">
        <v>66</v>
      </c>
      <c r="J18" s="87"/>
      <c r="K18" s="87"/>
      <c r="L18" s="87" t="s">
        <v>67</v>
      </c>
      <c r="M18" s="87"/>
      <c r="N18" s="87"/>
      <c r="O18" s="87"/>
      <c r="P18" s="23" t="s">
        <v>68</v>
      </c>
      <c r="Q18" s="23" t="s">
        <v>69</v>
      </c>
      <c r="R18" s="26">
        <v>33</v>
      </c>
      <c r="S18" s="26">
        <v>33</v>
      </c>
      <c r="T18" s="26">
        <v>49</v>
      </c>
      <c r="U18" s="45">
        <f>148</f>
        <v>148</v>
      </c>
    </row>
    <row r="19" spans="1:21" ht="75" customHeight="1" x14ac:dyDescent="0.2">
      <c r="A19" s="21"/>
      <c r="B19" s="24" t="s">
        <v>44</v>
      </c>
      <c r="C19" s="90" t="s">
        <v>44</v>
      </c>
      <c r="D19" s="90"/>
      <c r="E19" s="90"/>
      <c r="F19" s="90"/>
      <c r="G19" s="90"/>
      <c r="H19" s="90"/>
      <c r="I19" s="90" t="s">
        <v>71</v>
      </c>
      <c r="J19" s="90"/>
      <c r="K19" s="90"/>
      <c r="L19" s="90" t="s">
        <v>72</v>
      </c>
      <c r="M19" s="90"/>
      <c r="N19" s="90"/>
      <c r="O19" s="90"/>
      <c r="P19" s="25" t="s">
        <v>73</v>
      </c>
      <c r="Q19" s="25" t="s">
        <v>69</v>
      </c>
      <c r="R19" s="27">
        <v>46</v>
      </c>
      <c r="S19" s="27">
        <v>46</v>
      </c>
      <c r="T19" s="27">
        <v>40</v>
      </c>
      <c r="U19" s="46">
        <f>87</f>
        <v>87</v>
      </c>
    </row>
    <row r="20" spans="1:21" ht="75" customHeight="1" x14ac:dyDescent="0.2">
      <c r="A20" s="21"/>
      <c r="B20" s="24" t="s">
        <v>44</v>
      </c>
      <c r="C20" s="90" t="s">
        <v>44</v>
      </c>
      <c r="D20" s="90"/>
      <c r="E20" s="90"/>
      <c r="F20" s="90"/>
      <c r="G20" s="90"/>
      <c r="H20" s="90"/>
      <c r="I20" s="90" t="s">
        <v>74</v>
      </c>
      <c r="J20" s="90"/>
      <c r="K20" s="90"/>
      <c r="L20" s="90" t="s">
        <v>75</v>
      </c>
      <c r="M20" s="90"/>
      <c r="N20" s="90"/>
      <c r="O20" s="90"/>
      <c r="P20" s="25" t="s">
        <v>76</v>
      </c>
      <c r="Q20" s="25" t="s">
        <v>77</v>
      </c>
      <c r="R20" s="27">
        <v>5200</v>
      </c>
      <c r="S20" s="27">
        <v>5500</v>
      </c>
      <c r="T20" s="27">
        <v>4929</v>
      </c>
      <c r="U20" s="46">
        <f>89</f>
        <v>89</v>
      </c>
    </row>
    <row r="21" spans="1:21" ht="75" customHeight="1" x14ac:dyDescent="0.2">
      <c r="A21" s="21"/>
      <c r="B21" s="24" t="s">
        <v>44</v>
      </c>
      <c r="C21" s="90" t="s">
        <v>44</v>
      </c>
      <c r="D21" s="90"/>
      <c r="E21" s="90"/>
      <c r="F21" s="90"/>
      <c r="G21" s="90"/>
      <c r="H21" s="90"/>
      <c r="I21" s="90" t="s">
        <v>78</v>
      </c>
      <c r="J21" s="90"/>
      <c r="K21" s="90"/>
      <c r="L21" s="90" t="s">
        <v>79</v>
      </c>
      <c r="M21" s="90"/>
      <c r="N21" s="90"/>
      <c r="O21" s="90"/>
      <c r="P21" s="25" t="s">
        <v>80</v>
      </c>
      <c r="Q21" s="25" t="s">
        <v>61</v>
      </c>
      <c r="R21" s="27">
        <v>41</v>
      </c>
      <c r="S21" s="27">
        <v>41</v>
      </c>
      <c r="T21" s="27">
        <v>37</v>
      </c>
      <c r="U21" s="46">
        <f>90</f>
        <v>90</v>
      </c>
    </row>
    <row r="22" spans="1:21" ht="75" customHeight="1" x14ac:dyDescent="0.2">
      <c r="A22" s="21"/>
      <c r="B22" s="24" t="s">
        <v>44</v>
      </c>
      <c r="C22" s="90" t="s">
        <v>44</v>
      </c>
      <c r="D22" s="90"/>
      <c r="E22" s="90"/>
      <c r="F22" s="90"/>
      <c r="G22" s="90"/>
      <c r="H22" s="90"/>
      <c r="I22" s="90" t="s">
        <v>81</v>
      </c>
      <c r="J22" s="90"/>
      <c r="K22" s="90"/>
      <c r="L22" s="90" t="s">
        <v>82</v>
      </c>
      <c r="M22" s="90"/>
      <c r="N22" s="90"/>
      <c r="O22" s="90"/>
      <c r="P22" s="25" t="s">
        <v>83</v>
      </c>
      <c r="Q22" s="25" t="s">
        <v>84</v>
      </c>
      <c r="R22" s="27">
        <v>450</v>
      </c>
      <c r="S22" s="27">
        <v>500</v>
      </c>
      <c r="T22" s="27">
        <v>425</v>
      </c>
      <c r="U22" s="46">
        <f>85</f>
        <v>85</v>
      </c>
    </row>
    <row r="23" spans="1:21" ht="75" customHeight="1" x14ac:dyDescent="0.2">
      <c r="A23" s="21"/>
      <c r="B23" s="24" t="s">
        <v>44</v>
      </c>
      <c r="C23" s="90" t="s">
        <v>44</v>
      </c>
      <c r="D23" s="90"/>
      <c r="E23" s="90"/>
      <c r="F23" s="90"/>
      <c r="G23" s="90"/>
      <c r="H23" s="90"/>
      <c r="I23" s="90" t="s">
        <v>85</v>
      </c>
      <c r="J23" s="90"/>
      <c r="K23" s="90"/>
      <c r="L23" s="90" t="s">
        <v>86</v>
      </c>
      <c r="M23" s="90"/>
      <c r="N23" s="90"/>
      <c r="O23" s="90"/>
      <c r="P23" s="25" t="s">
        <v>87</v>
      </c>
      <c r="Q23" s="25" t="s">
        <v>88</v>
      </c>
      <c r="R23" s="27">
        <v>800</v>
      </c>
      <c r="S23" s="27">
        <v>800</v>
      </c>
      <c r="T23" s="27">
        <v>1187</v>
      </c>
      <c r="U23" s="46">
        <f>148</f>
        <v>148</v>
      </c>
    </row>
    <row r="24" spans="1:21" ht="75" customHeight="1" x14ac:dyDescent="0.2">
      <c r="A24" s="21"/>
      <c r="B24" s="24" t="s">
        <v>44</v>
      </c>
      <c r="C24" s="90" t="s">
        <v>89</v>
      </c>
      <c r="D24" s="90"/>
      <c r="E24" s="90"/>
      <c r="F24" s="90"/>
      <c r="G24" s="90"/>
      <c r="H24" s="90"/>
      <c r="I24" s="90" t="s">
        <v>90</v>
      </c>
      <c r="J24" s="90"/>
      <c r="K24" s="90"/>
      <c r="L24" s="90" t="s">
        <v>91</v>
      </c>
      <c r="M24" s="90"/>
      <c r="N24" s="90"/>
      <c r="O24" s="90"/>
      <c r="P24" s="25" t="s">
        <v>73</v>
      </c>
      <c r="Q24" s="25" t="s">
        <v>84</v>
      </c>
      <c r="R24" s="27">
        <v>2</v>
      </c>
      <c r="S24" s="27">
        <v>2.2999999999999998</v>
      </c>
      <c r="T24" s="27">
        <v>0.5</v>
      </c>
      <c r="U24" s="46">
        <f>21</f>
        <v>21</v>
      </c>
    </row>
    <row r="25" spans="1:21" ht="90.75" customHeight="1" x14ac:dyDescent="0.2">
      <c r="A25" s="21"/>
      <c r="B25" s="24" t="s">
        <v>44</v>
      </c>
      <c r="C25" s="90" t="s">
        <v>44</v>
      </c>
      <c r="D25" s="90"/>
      <c r="E25" s="90"/>
      <c r="F25" s="90"/>
      <c r="G25" s="90"/>
      <c r="H25" s="90"/>
      <c r="I25" s="90" t="s">
        <v>92</v>
      </c>
      <c r="J25" s="90"/>
      <c r="K25" s="90"/>
      <c r="L25" s="90" t="s">
        <v>93</v>
      </c>
      <c r="M25" s="90"/>
      <c r="N25" s="90"/>
      <c r="O25" s="90"/>
      <c r="P25" s="25" t="s">
        <v>94</v>
      </c>
      <c r="Q25" s="25" t="s">
        <v>77</v>
      </c>
      <c r="R25" s="25">
        <v>16</v>
      </c>
      <c r="S25" s="25">
        <v>16</v>
      </c>
      <c r="T25" s="25">
        <v>21</v>
      </c>
      <c r="U25" s="46">
        <f>131.25</f>
        <v>131.25</v>
      </c>
    </row>
    <row r="26" spans="1:21" ht="93.75" customHeight="1" x14ac:dyDescent="0.2">
      <c r="A26" s="21"/>
      <c r="B26" s="24" t="s">
        <v>44</v>
      </c>
      <c r="C26" s="90" t="s">
        <v>44</v>
      </c>
      <c r="D26" s="90"/>
      <c r="E26" s="90"/>
      <c r="F26" s="90"/>
      <c r="G26" s="90"/>
      <c r="H26" s="90"/>
      <c r="I26" s="90" t="s">
        <v>95</v>
      </c>
      <c r="J26" s="90"/>
      <c r="K26" s="90"/>
      <c r="L26" s="90" t="s">
        <v>96</v>
      </c>
      <c r="M26" s="90"/>
      <c r="N26" s="90"/>
      <c r="O26" s="90"/>
      <c r="P26" s="25" t="s">
        <v>94</v>
      </c>
      <c r="Q26" s="25" t="s">
        <v>77</v>
      </c>
      <c r="R26" s="25">
        <v>242</v>
      </c>
      <c r="S26" s="25">
        <v>242</v>
      </c>
      <c r="T26" s="25">
        <v>106</v>
      </c>
      <c r="U26" s="46">
        <f>43</f>
        <v>43</v>
      </c>
    </row>
    <row r="27" spans="1:21" ht="82.5" customHeight="1" x14ac:dyDescent="0.2">
      <c r="A27" s="21"/>
      <c r="B27" s="24" t="s">
        <v>44</v>
      </c>
      <c r="C27" s="90" t="s">
        <v>44</v>
      </c>
      <c r="D27" s="90"/>
      <c r="E27" s="90"/>
      <c r="F27" s="90"/>
      <c r="G27" s="90"/>
      <c r="H27" s="90"/>
      <c r="I27" s="90" t="s">
        <v>97</v>
      </c>
      <c r="J27" s="90"/>
      <c r="K27" s="90"/>
      <c r="L27" s="90" t="s">
        <v>98</v>
      </c>
      <c r="M27" s="90"/>
      <c r="N27" s="90"/>
      <c r="O27" s="90"/>
      <c r="P27" s="25" t="s">
        <v>94</v>
      </c>
      <c r="Q27" s="25" t="s">
        <v>77</v>
      </c>
      <c r="R27" s="25">
        <v>113</v>
      </c>
      <c r="S27" s="25">
        <v>113</v>
      </c>
      <c r="T27" s="25">
        <v>56</v>
      </c>
      <c r="U27" s="46">
        <f>49.55</f>
        <v>49.55</v>
      </c>
    </row>
    <row r="28" spans="1:21" ht="100.5" customHeight="1" x14ac:dyDescent="0.2">
      <c r="A28" s="21"/>
      <c r="B28" s="24" t="s">
        <v>44</v>
      </c>
      <c r="C28" s="90" t="s">
        <v>44</v>
      </c>
      <c r="D28" s="90"/>
      <c r="E28" s="90"/>
      <c r="F28" s="90"/>
      <c r="G28" s="90"/>
      <c r="H28" s="90"/>
      <c r="I28" s="90" t="s">
        <v>99</v>
      </c>
      <c r="J28" s="90"/>
      <c r="K28" s="90"/>
      <c r="L28" s="90" t="s">
        <v>100</v>
      </c>
      <c r="M28" s="90"/>
      <c r="N28" s="90"/>
      <c r="O28" s="90"/>
      <c r="P28" s="25" t="s">
        <v>94</v>
      </c>
      <c r="Q28" s="25" t="s">
        <v>77</v>
      </c>
      <c r="R28" s="25">
        <v>2400</v>
      </c>
      <c r="S28" s="25">
        <v>2400</v>
      </c>
      <c r="T28" s="25">
        <v>1440</v>
      </c>
      <c r="U28" s="46">
        <f>60</f>
        <v>60</v>
      </c>
    </row>
    <row r="29" spans="1:21" ht="77.25" customHeight="1" x14ac:dyDescent="0.2">
      <c r="A29" s="21"/>
      <c r="B29" s="24" t="s">
        <v>44</v>
      </c>
      <c r="C29" s="90" t="s">
        <v>44</v>
      </c>
      <c r="D29" s="90"/>
      <c r="E29" s="90"/>
      <c r="F29" s="90"/>
      <c r="G29" s="90"/>
      <c r="H29" s="90"/>
      <c r="I29" s="90" t="s">
        <v>101</v>
      </c>
      <c r="J29" s="90"/>
      <c r="K29" s="90"/>
      <c r="L29" s="90" t="s">
        <v>102</v>
      </c>
      <c r="M29" s="90"/>
      <c r="N29" s="90"/>
      <c r="O29" s="90"/>
      <c r="P29" s="25" t="s">
        <v>42</v>
      </c>
      <c r="Q29" s="25" t="s">
        <v>61</v>
      </c>
      <c r="R29" s="25">
        <v>75</v>
      </c>
      <c r="S29" s="25">
        <v>85</v>
      </c>
      <c r="T29" s="25">
        <v>74</v>
      </c>
      <c r="U29" s="46">
        <f>87</f>
        <v>87</v>
      </c>
    </row>
    <row r="30" spans="1:21" ht="100.5" customHeight="1" x14ac:dyDescent="0.2">
      <c r="A30" s="21"/>
      <c r="B30" s="24" t="s">
        <v>44</v>
      </c>
      <c r="C30" s="90" t="s">
        <v>44</v>
      </c>
      <c r="D30" s="90"/>
      <c r="E30" s="90"/>
      <c r="F30" s="90"/>
      <c r="G30" s="90"/>
      <c r="H30" s="90"/>
      <c r="I30" s="90" t="s">
        <v>103</v>
      </c>
      <c r="J30" s="90"/>
      <c r="K30" s="90"/>
      <c r="L30" s="90" t="s">
        <v>104</v>
      </c>
      <c r="M30" s="90"/>
      <c r="N30" s="90"/>
      <c r="O30" s="90"/>
      <c r="P30" s="25" t="s">
        <v>94</v>
      </c>
      <c r="Q30" s="25" t="s">
        <v>77</v>
      </c>
      <c r="R30" s="25">
        <v>67</v>
      </c>
      <c r="S30" s="25">
        <v>67</v>
      </c>
      <c r="T30" s="25">
        <v>60.8</v>
      </c>
      <c r="U30" s="46">
        <f>90.74</f>
        <v>90.74</v>
      </c>
    </row>
    <row r="31" spans="1:21" ht="66" customHeight="1" x14ac:dyDescent="0.2">
      <c r="A31" s="21"/>
      <c r="B31" s="24" t="s">
        <v>44</v>
      </c>
      <c r="C31" s="90" t="s">
        <v>105</v>
      </c>
      <c r="D31" s="90"/>
      <c r="E31" s="90"/>
      <c r="F31" s="90"/>
      <c r="G31" s="90"/>
      <c r="H31" s="90"/>
      <c r="I31" s="90" t="s">
        <v>106</v>
      </c>
      <c r="J31" s="90"/>
      <c r="K31" s="90"/>
      <c r="L31" s="90" t="s">
        <v>107</v>
      </c>
      <c r="M31" s="90"/>
      <c r="N31" s="90"/>
      <c r="O31" s="90"/>
      <c r="P31" s="25" t="s">
        <v>42</v>
      </c>
      <c r="Q31" s="25" t="s">
        <v>77</v>
      </c>
      <c r="R31" s="25">
        <v>89</v>
      </c>
      <c r="S31" s="25">
        <v>89</v>
      </c>
      <c r="T31" s="25">
        <v>99.6</v>
      </c>
      <c r="U31" s="46">
        <f>111.9</f>
        <v>111.9</v>
      </c>
    </row>
    <row r="32" spans="1:21" ht="75" customHeight="1" x14ac:dyDescent="0.2">
      <c r="A32" s="21"/>
      <c r="B32" s="24" t="s">
        <v>44</v>
      </c>
      <c r="C32" s="90" t="s">
        <v>44</v>
      </c>
      <c r="D32" s="90"/>
      <c r="E32" s="90"/>
      <c r="F32" s="90"/>
      <c r="G32" s="90"/>
      <c r="H32" s="90"/>
      <c r="I32" s="90" t="s">
        <v>108</v>
      </c>
      <c r="J32" s="90"/>
      <c r="K32" s="90"/>
      <c r="L32" s="90" t="s">
        <v>109</v>
      </c>
      <c r="M32" s="90"/>
      <c r="N32" s="90"/>
      <c r="O32" s="90"/>
      <c r="P32" s="25" t="s">
        <v>42</v>
      </c>
      <c r="Q32" s="25" t="s">
        <v>110</v>
      </c>
      <c r="R32" s="25">
        <v>93</v>
      </c>
      <c r="S32" s="25">
        <v>93</v>
      </c>
      <c r="T32" s="25">
        <v>45</v>
      </c>
      <c r="U32" s="46">
        <f>48.39</f>
        <v>48.39</v>
      </c>
    </row>
    <row r="33" spans="1:22" ht="75" customHeight="1" x14ac:dyDescent="0.2">
      <c r="A33" s="21"/>
      <c r="B33" s="24" t="s">
        <v>44</v>
      </c>
      <c r="C33" s="90" t="s">
        <v>44</v>
      </c>
      <c r="D33" s="90"/>
      <c r="E33" s="90"/>
      <c r="F33" s="90"/>
      <c r="G33" s="90"/>
      <c r="H33" s="90"/>
      <c r="I33" s="90" t="s">
        <v>111</v>
      </c>
      <c r="J33" s="90"/>
      <c r="K33" s="90"/>
      <c r="L33" s="90" t="s">
        <v>112</v>
      </c>
      <c r="M33" s="90"/>
      <c r="N33" s="90"/>
      <c r="O33" s="90"/>
      <c r="P33" s="25" t="s">
        <v>42</v>
      </c>
      <c r="Q33" s="25" t="s">
        <v>88</v>
      </c>
      <c r="R33" s="25">
        <v>58</v>
      </c>
      <c r="S33" s="25">
        <v>58</v>
      </c>
      <c r="T33" s="25">
        <v>63</v>
      </c>
      <c r="U33" s="46">
        <f>108</f>
        <v>108</v>
      </c>
    </row>
    <row r="34" spans="1:22" ht="54" customHeight="1" x14ac:dyDescent="0.2">
      <c r="A34" s="21"/>
      <c r="B34" s="24" t="s">
        <v>44</v>
      </c>
      <c r="C34" s="90" t="s">
        <v>113</v>
      </c>
      <c r="D34" s="90"/>
      <c r="E34" s="90"/>
      <c r="F34" s="90"/>
      <c r="G34" s="90"/>
      <c r="H34" s="90"/>
      <c r="I34" s="90" t="s">
        <v>114</v>
      </c>
      <c r="J34" s="90"/>
      <c r="K34" s="90"/>
      <c r="L34" s="90" t="s">
        <v>115</v>
      </c>
      <c r="M34" s="90"/>
      <c r="N34" s="90"/>
      <c r="O34" s="90"/>
      <c r="P34" s="25" t="s">
        <v>42</v>
      </c>
      <c r="Q34" s="25" t="s">
        <v>77</v>
      </c>
      <c r="R34" s="25">
        <v>50</v>
      </c>
      <c r="S34" s="25">
        <v>50</v>
      </c>
      <c r="T34" s="25">
        <v>53</v>
      </c>
      <c r="U34" s="46">
        <f>106</f>
        <v>106</v>
      </c>
    </row>
    <row r="35" spans="1:22" ht="75" customHeight="1" x14ac:dyDescent="0.2">
      <c r="A35" s="21"/>
      <c r="B35" s="24" t="s">
        <v>44</v>
      </c>
      <c r="C35" s="90" t="s">
        <v>116</v>
      </c>
      <c r="D35" s="90"/>
      <c r="E35" s="90"/>
      <c r="F35" s="90"/>
      <c r="G35" s="90"/>
      <c r="H35" s="90"/>
      <c r="I35" s="90" t="s">
        <v>117</v>
      </c>
      <c r="J35" s="90"/>
      <c r="K35" s="90"/>
      <c r="L35" s="90" t="s">
        <v>118</v>
      </c>
      <c r="M35" s="90"/>
      <c r="N35" s="90"/>
      <c r="O35" s="90"/>
      <c r="P35" s="25" t="s">
        <v>42</v>
      </c>
      <c r="Q35" s="25" t="s">
        <v>61</v>
      </c>
      <c r="R35" s="25">
        <v>63</v>
      </c>
      <c r="S35" s="25">
        <v>63</v>
      </c>
      <c r="T35" s="25">
        <v>100</v>
      </c>
      <c r="U35" s="46">
        <f>158.73</f>
        <v>158.72999999999999</v>
      </c>
    </row>
    <row r="36" spans="1:22" ht="69" customHeight="1" x14ac:dyDescent="0.2">
      <c r="A36" s="21"/>
      <c r="B36" s="24" t="s">
        <v>44</v>
      </c>
      <c r="C36" s="90" t="s">
        <v>44</v>
      </c>
      <c r="D36" s="90"/>
      <c r="E36" s="90"/>
      <c r="F36" s="90"/>
      <c r="G36" s="90"/>
      <c r="H36" s="90"/>
      <c r="I36" s="90" t="s">
        <v>119</v>
      </c>
      <c r="J36" s="90"/>
      <c r="K36" s="90"/>
      <c r="L36" s="90" t="s">
        <v>120</v>
      </c>
      <c r="M36" s="90"/>
      <c r="N36" s="90"/>
      <c r="O36" s="90"/>
      <c r="P36" s="25" t="s">
        <v>121</v>
      </c>
      <c r="Q36" s="25" t="s">
        <v>84</v>
      </c>
      <c r="R36" s="27">
        <v>21</v>
      </c>
      <c r="S36" s="27">
        <v>21</v>
      </c>
      <c r="T36" s="27">
        <v>21</v>
      </c>
      <c r="U36" s="46">
        <f>100</f>
        <v>100</v>
      </c>
    </row>
    <row r="37" spans="1:22" ht="105.75" customHeight="1" thickBot="1" x14ac:dyDescent="0.25">
      <c r="A37" s="21"/>
      <c r="B37" s="24" t="s">
        <v>44</v>
      </c>
      <c r="C37" s="90" t="s">
        <v>44</v>
      </c>
      <c r="D37" s="90"/>
      <c r="E37" s="90"/>
      <c r="F37" s="90"/>
      <c r="G37" s="90"/>
      <c r="H37" s="90"/>
      <c r="I37" s="90" t="s">
        <v>122</v>
      </c>
      <c r="J37" s="90"/>
      <c r="K37" s="90"/>
      <c r="L37" s="90" t="s">
        <v>123</v>
      </c>
      <c r="M37" s="90"/>
      <c r="N37" s="90"/>
      <c r="O37" s="90"/>
      <c r="P37" s="25" t="s">
        <v>42</v>
      </c>
      <c r="Q37" s="25" t="s">
        <v>69</v>
      </c>
      <c r="R37" s="25">
        <v>15</v>
      </c>
      <c r="S37" s="25">
        <v>15</v>
      </c>
      <c r="T37" s="25">
        <v>0</v>
      </c>
      <c r="U37" s="46">
        <f>0</f>
        <v>0</v>
      </c>
    </row>
    <row r="38" spans="1:22" ht="14.25" customHeight="1" thickTop="1" thickBot="1" x14ac:dyDescent="0.25">
      <c r="B38" s="4" t="s">
        <v>124</v>
      </c>
      <c r="C38" s="5"/>
      <c r="D38" s="5"/>
      <c r="E38" s="5"/>
      <c r="F38" s="5"/>
      <c r="G38" s="5"/>
      <c r="H38" s="6"/>
      <c r="I38" s="6"/>
      <c r="J38" s="6"/>
      <c r="K38" s="6"/>
      <c r="L38" s="6"/>
      <c r="M38" s="6"/>
      <c r="N38" s="6"/>
      <c r="O38" s="6"/>
      <c r="P38" s="6"/>
      <c r="Q38" s="6"/>
      <c r="R38" s="6"/>
      <c r="S38" s="6"/>
      <c r="T38" s="6"/>
      <c r="U38" s="7"/>
      <c r="V38" s="28"/>
    </row>
    <row r="39" spans="1:22" ht="26.25" customHeight="1" thickTop="1" x14ac:dyDescent="0.2">
      <c r="B39" s="29"/>
      <c r="C39" s="30"/>
      <c r="D39" s="30"/>
      <c r="E39" s="30"/>
      <c r="F39" s="30"/>
      <c r="G39" s="30"/>
      <c r="H39" s="31"/>
      <c r="I39" s="31"/>
      <c r="J39" s="31"/>
      <c r="K39" s="31"/>
      <c r="L39" s="31"/>
      <c r="M39" s="31"/>
      <c r="N39" s="31"/>
      <c r="O39" s="31"/>
      <c r="P39" s="31"/>
      <c r="Q39" s="31"/>
      <c r="R39" s="32"/>
      <c r="S39" s="33" t="s">
        <v>33</v>
      </c>
      <c r="T39" s="33" t="s">
        <v>125</v>
      </c>
      <c r="U39" s="18" t="s">
        <v>126</v>
      </c>
    </row>
    <row r="40" spans="1:22" ht="26.25" customHeight="1" thickBot="1" x14ac:dyDescent="0.25">
      <c r="B40" s="34"/>
      <c r="C40" s="35"/>
      <c r="D40" s="35"/>
      <c r="E40" s="35"/>
      <c r="F40" s="35"/>
      <c r="G40" s="35"/>
      <c r="H40" s="36"/>
      <c r="I40" s="36"/>
      <c r="J40" s="36"/>
      <c r="K40" s="36"/>
      <c r="L40" s="36"/>
      <c r="M40" s="36"/>
      <c r="N40" s="36"/>
      <c r="O40" s="36"/>
      <c r="P40" s="36"/>
      <c r="Q40" s="36"/>
      <c r="R40" s="36"/>
      <c r="S40" s="37" t="s">
        <v>127</v>
      </c>
      <c r="T40" s="38" t="s">
        <v>127</v>
      </c>
      <c r="U40" s="38" t="s">
        <v>128</v>
      </c>
    </row>
    <row r="41" spans="1:22" ht="13.5" customHeight="1" thickBot="1" x14ac:dyDescent="0.25">
      <c r="B41" s="91" t="s">
        <v>129</v>
      </c>
      <c r="C41" s="92"/>
      <c r="D41" s="92"/>
      <c r="E41" s="39"/>
      <c r="F41" s="39"/>
      <c r="G41" s="39"/>
      <c r="H41" s="40"/>
      <c r="I41" s="40"/>
      <c r="J41" s="40"/>
      <c r="K41" s="40"/>
      <c r="L41" s="40"/>
      <c r="M41" s="40"/>
      <c r="N41" s="40"/>
      <c r="O41" s="40"/>
      <c r="P41" s="41"/>
      <c r="Q41" s="41"/>
      <c r="R41" s="41"/>
      <c r="S41" s="52">
        <v>773.68025799999998</v>
      </c>
      <c r="T41" s="52">
        <v>664.48613506999982</v>
      </c>
      <c r="U41" s="53">
        <f>+IF(ISERR(T41/S41*100),"N/A",ROUND(T41/S41*100,1))</f>
        <v>85.9</v>
      </c>
    </row>
    <row r="42" spans="1:22" ht="13.5" customHeight="1" thickBot="1" x14ac:dyDescent="0.25">
      <c r="B42" s="93" t="s">
        <v>130</v>
      </c>
      <c r="C42" s="94"/>
      <c r="D42" s="94"/>
      <c r="E42" s="42"/>
      <c r="F42" s="42"/>
      <c r="G42" s="42"/>
      <c r="H42" s="43"/>
      <c r="I42" s="43"/>
      <c r="J42" s="43"/>
      <c r="K42" s="43"/>
      <c r="L42" s="43"/>
      <c r="M42" s="43"/>
      <c r="N42" s="43"/>
      <c r="O42" s="43"/>
      <c r="P42" s="44"/>
      <c r="Q42" s="44"/>
      <c r="R42" s="44"/>
      <c r="S42" s="52">
        <v>664.48613506999982</v>
      </c>
      <c r="T42" s="52">
        <v>664.48613506999982</v>
      </c>
      <c r="U42" s="53">
        <f>+IF(ISERR(T42/S42*100),"N/A",ROUND(T42/S42*100,1))</f>
        <v>100</v>
      </c>
    </row>
    <row r="43" spans="1:22" ht="14.85" customHeight="1" thickTop="1" thickBot="1" x14ac:dyDescent="0.25">
      <c r="B43" s="4" t="s">
        <v>131</v>
      </c>
      <c r="C43" s="5"/>
      <c r="D43" s="5"/>
      <c r="E43" s="5"/>
      <c r="F43" s="5"/>
      <c r="G43" s="5"/>
      <c r="H43" s="6"/>
      <c r="I43" s="6"/>
      <c r="J43" s="6"/>
      <c r="K43" s="6"/>
      <c r="L43" s="6"/>
      <c r="M43" s="6"/>
      <c r="N43" s="6"/>
      <c r="O43" s="6"/>
      <c r="P43" s="6"/>
      <c r="Q43" s="6"/>
      <c r="R43" s="6"/>
      <c r="S43" s="6"/>
      <c r="T43" s="6"/>
      <c r="U43" s="7"/>
    </row>
    <row r="44" spans="1:22" ht="44.25" customHeight="1" thickTop="1" x14ac:dyDescent="0.2">
      <c r="B44" s="95" t="s">
        <v>132</v>
      </c>
      <c r="C44" s="96"/>
      <c r="D44" s="96"/>
      <c r="E44" s="96"/>
      <c r="F44" s="96"/>
      <c r="G44" s="96"/>
      <c r="H44" s="96"/>
      <c r="I44" s="96"/>
      <c r="J44" s="96"/>
      <c r="K44" s="96"/>
      <c r="L44" s="96"/>
      <c r="M44" s="96"/>
      <c r="N44" s="96"/>
      <c r="O44" s="96"/>
      <c r="P44" s="96"/>
      <c r="Q44" s="96"/>
      <c r="R44" s="96"/>
      <c r="S44" s="96"/>
      <c r="T44" s="96"/>
      <c r="U44" s="97"/>
    </row>
    <row r="45" spans="1:22" ht="180" customHeight="1" x14ac:dyDescent="0.2">
      <c r="B45" s="98" t="s">
        <v>133</v>
      </c>
      <c r="C45" s="99"/>
      <c r="D45" s="99"/>
      <c r="E45" s="99"/>
      <c r="F45" s="99"/>
      <c r="G45" s="99"/>
      <c r="H45" s="99"/>
      <c r="I45" s="99"/>
      <c r="J45" s="99"/>
      <c r="K45" s="99"/>
      <c r="L45" s="99"/>
      <c r="M45" s="99"/>
      <c r="N45" s="99"/>
      <c r="O45" s="99"/>
      <c r="P45" s="99"/>
      <c r="Q45" s="99"/>
      <c r="R45" s="99"/>
      <c r="S45" s="99"/>
      <c r="T45" s="99"/>
      <c r="U45" s="100"/>
    </row>
    <row r="46" spans="1:22" ht="45" customHeight="1" x14ac:dyDescent="0.2">
      <c r="B46" s="98" t="s">
        <v>134</v>
      </c>
      <c r="C46" s="99"/>
      <c r="D46" s="99"/>
      <c r="E46" s="99"/>
      <c r="F46" s="99"/>
      <c r="G46" s="99"/>
      <c r="H46" s="99"/>
      <c r="I46" s="99"/>
      <c r="J46" s="99"/>
      <c r="K46" s="99"/>
      <c r="L46" s="99"/>
      <c r="M46" s="99"/>
      <c r="N46" s="99"/>
      <c r="O46" s="99"/>
      <c r="P46" s="99"/>
      <c r="Q46" s="99"/>
      <c r="R46" s="99"/>
      <c r="S46" s="99"/>
      <c r="T46" s="99"/>
      <c r="U46" s="100"/>
    </row>
    <row r="47" spans="1:22" ht="45" customHeight="1" x14ac:dyDescent="0.2">
      <c r="B47" s="98" t="s">
        <v>135</v>
      </c>
      <c r="C47" s="99"/>
      <c r="D47" s="99"/>
      <c r="E47" s="99"/>
      <c r="F47" s="99"/>
      <c r="G47" s="99"/>
      <c r="H47" s="99"/>
      <c r="I47" s="99"/>
      <c r="J47" s="99"/>
      <c r="K47" s="99"/>
      <c r="L47" s="99"/>
      <c r="M47" s="99"/>
      <c r="N47" s="99"/>
      <c r="O47" s="99"/>
      <c r="P47" s="99"/>
      <c r="Q47" s="99"/>
      <c r="R47" s="99"/>
      <c r="S47" s="99"/>
      <c r="T47" s="99"/>
      <c r="U47" s="100"/>
    </row>
    <row r="48" spans="1:22" ht="45" customHeight="1" x14ac:dyDescent="0.2">
      <c r="B48" s="98" t="s">
        <v>136</v>
      </c>
      <c r="C48" s="99"/>
      <c r="D48" s="99"/>
      <c r="E48" s="99"/>
      <c r="F48" s="99"/>
      <c r="G48" s="99"/>
      <c r="H48" s="99"/>
      <c r="I48" s="99"/>
      <c r="J48" s="99"/>
      <c r="K48" s="99"/>
      <c r="L48" s="99"/>
      <c r="M48" s="99"/>
      <c r="N48" s="99"/>
      <c r="O48" s="99"/>
      <c r="P48" s="99"/>
      <c r="Q48" s="99"/>
      <c r="R48" s="99"/>
      <c r="S48" s="99"/>
      <c r="T48" s="99"/>
      <c r="U48" s="100"/>
    </row>
    <row r="49" spans="2:21" ht="45" customHeight="1" x14ac:dyDescent="0.2">
      <c r="B49" s="98" t="s">
        <v>137</v>
      </c>
      <c r="C49" s="99"/>
      <c r="D49" s="99"/>
      <c r="E49" s="99"/>
      <c r="F49" s="99"/>
      <c r="G49" s="99"/>
      <c r="H49" s="99"/>
      <c r="I49" s="99"/>
      <c r="J49" s="99"/>
      <c r="K49" s="99"/>
      <c r="L49" s="99"/>
      <c r="M49" s="99"/>
      <c r="N49" s="99"/>
      <c r="O49" s="99"/>
      <c r="P49" s="99"/>
      <c r="Q49" s="99"/>
      <c r="R49" s="99"/>
      <c r="S49" s="99"/>
      <c r="T49" s="99"/>
      <c r="U49" s="100"/>
    </row>
    <row r="50" spans="2:21" ht="45" customHeight="1" x14ac:dyDescent="0.2">
      <c r="B50" s="98" t="s">
        <v>138</v>
      </c>
      <c r="C50" s="99"/>
      <c r="D50" s="99"/>
      <c r="E50" s="99"/>
      <c r="F50" s="99"/>
      <c r="G50" s="99"/>
      <c r="H50" s="99"/>
      <c r="I50" s="99"/>
      <c r="J50" s="99"/>
      <c r="K50" s="99"/>
      <c r="L50" s="99"/>
      <c r="M50" s="99"/>
      <c r="N50" s="99"/>
      <c r="O50" s="99"/>
      <c r="P50" s="99"/>
      <c r="Q50" s="99"/>
      <c r="R50" s="99"/>
      <c r="S50" s="99"/>
      <c r="T50" s="99"/>
      <c r="U50" s="100"/>
    </row>
    <row r="51" spans="2:21" ht="45" customHeight="1" x14ac:dyDescent="0.2">
      <c r="B51" s="98" t="s">
        <v>139</v>
      </c>
      <c r="C51" s="99"/>
      <c r="D51" s="99"/>
      <c r="E51" s="99"/>
      <c r="F51" s="99"/>
      <c r="G51" s="99"/>
      <c r="H51" s="99"/>
      <c r="I51" s="99"/>
      <c r="J51" s="99"/>
      <c r="K51" s="99"/>
      <c r="L51" s="99"/>
      <c r="M51" s="99"/>
      <c r="N51" s="99"/>
      <c r="O51" s="99"/>
      <c r="P51" s="99"/>
      <c r="Q51" s="99"/>
      <c r="R51" s="99"/>
      <c r="S51" s="99"/>
      <c r="T51" s="99"/>
      <c r="U51" s="100"/>
    </row>
    <row r="52" spans="2:21" ht="40.5" customHeight="1" x14ac:dyDescent="0.2">
      <c r="B52" s="98" t="s">
        <v>140</v>
      </c>
      <c r="C52" s="99"/>
      <c r="D52" s="99"/>
      <c r="E52" s="99"/>
      <c r="F52" s="99"/>
      <c r="G52" s="99"/>
      <c r="H52" s="99"/>
      <c r="I52" s="99"/>
      <c r="J52" s="99"/>
      <c r="K52" s="99"/>
      <c r="L52" s="99"/>
      <c r="M52" s="99"/>
      <c r="N52" s="99"/>
      <c r="O52" s="99"/>
      <c r="P52" s="99"/>
      <c r="Q52" s="99"/>
      <c r="R52" s="99"/>
      <c r="S52" s="99"/>
      <c r="T52" s="99"/>
      <c r="U52" s="100"/>
    </row>
    <row r="53" spans="2:21" ht="38.25" customHeight="1" x14ac:dyDescent="0.2">
      <c r="B53" s="98" t="s">
        <v>141</v>
      </c>
      <c r="C53" s="99"/>
      <c r="D53" s="99"/>
      <c r="E53" s="99"/>
      <c r="F53" s="99"/>
      <c r="G53" s="99"/>
      <c r="H53" s="99"/>
      <c r="I53" s="99"/>
      <c r="J53" s="99"/>
      <c r="K53" s="99"/>
      <c r="L53" s="99"/>
      <c r="M53" s="99"/>
      <c r="N53" s="99"/>
      <c r="O53" s="99"/>
      <c r="P53" s="99"/>
      <c r="Q53" s="99"/>
      <c r="R53" s="99"/>
      <c r="S53" s="99"/>
      <c r="T53" s="99"/>
      <c r="U53" s="100"/>
    </row>
    <row r="54" spans="2:21" ht="45" customHeight="1" x14ac:dyDescent="0.2">
      <c r="B54" s="98" t="s">
        <v>142</v>
      </c>
      <c r="C54" s="99"/>
      <c r="D54" s="99"/>
      <c r="E54" s="99"/>
      <c r="F54" s="99"/>
      <c r="G54" s="99"/>
      <c r="H54" s="99"/>
      <c r="I54" s="99"/>
      <c r="J54" s="99"/>
      <c r="K54" s="99"/>
      <c r="L54" s="99"/>
      <c r="M54" s="99"/>
      <c r="N54" s="99"/>
      <c r="O54" s="99"/>
      <c r="P54" s="99"/>
      <c r="Q54" s="99"/>
      <c r="R54" s="99"/>
      <c r="S54" s="99"/>
      <c r="T54" s="99"/>
      <c r="U54" s="100"/>
    </row>
    <row r="55" spans="2:21" ht="48" customHeight="1" x14ac:dyDescent="0.2">
      <c r="B55" s="98" t="s">
        <v>143</v>
      </c>
      <c r="C55" s="99"/>
      <c r="D55" s="99"/>
      <c r="E55" s="99"/>
      <c r="F55" s="99"/>
      <c r="G55" s="99"/>
      <c r="H55" s="99"/>
      <c r="I55" s="99"/>
      <c r="J55" s="99"/>
      <c r="K55" s="99"/>
      <c r="L55" s="99"/>
      <c r="M55" s="99"/>
      <c r="N55" s="99"/>
      <c r="O55" s="99"/>
      <c r="P55" s="99"/>
      <c r="Q55" s="99"/>
      <c r="R55" s="99"/>
      <c r="S55" s="99"/>
      <c r="T55" s="99"/>
      <c r="U55" s="100"/>
    </row>
    <row r="56" spans="2:21" ht="45.75" customHeight="1" x14ac:dyDescent="0.2">
      <c r="B56" s="98" t="s">
        <v>144</v>
      </c>
      <c r="C56" s="99"/>
      <c r="D56" s="99"/>
      <c r="E56" s="99"/>
      <c r="F56" s="99"/>
      <c r="G56" s="99"/>
      <c r="H56" s="99"/>
      <c r="I56" s="99"/>
      <c r="J56" s="99"/>
      <c r="K56" s="99"/>
      <c r="L56" s="99"/>
      <c r="M56" s="99"/>
      <c r="N56" s="99"/>
      <c r="O56" s="99"/>
      <c r="P56" s="99"/>
      <c r="Q56" s="99"/>
      <c r="R56" s="99"/>
      <c r="S56" s="99"/>
      <c r="T56" s="99"/>
      <c r="U56" s="100"/>
    </row>
    <row r="57" spans="2:21" ht="45" customHeight="1" x14ac:dyDescent="0.2">
      <c r="B57" s="98" t="s">
        <v>145</v>
      </c>
      <c r="C57" s="99"/>
      <c r="D57" s="99"/>
      <c r="E57" s="99"/>
      <c r="F57" s="99"/>
      <c r="G57" s="99"/>
      <c r="H57" s="99"/>
      <c r="I57" s="99"/>
      <c r="J57" s="99"/>
      <c r="K57" s="99"/>
      <c r="L57" s="99"/>
      <c r="M57" s="99"/>
      <c r="N57" s="99"/>
      <c r="O57" s="99"/>
      <c r="P57" s="99"/>
      <c r="Q57" s="99"/>
      <c r="R57" s="99"/>
      <c r="S57" s="99"/>
      <c r="T57" s="99"/>
      <c r="U57" s="100"/>
    </row>
    <row r="58" spans="2:21" ht="40.5" customHeight="1" x14ac:dyDescent="0.2">
      <c r="B58" s="98" t="s">
        <v>146</v>
      </c>
      <c r="C58" s="99"/>
      <c r="D58" s="99"/>
      <c r="E58" s="99"/>
      <c r="F58" s="99"/>
      <c r="G58" s="99"/>
      <c r="H58" s="99"/>
      <c r="I58" s="99"/>
      <c r="J58" s="99"/>
      <c r="K58" s="99"/>
      <c r="L58" s="99"/>
      <c r="M58" s="99"/>
      <c r="N58" s="99"/>
      <c r="O58" s="99"/>
      <c r="P58" s="99"/>
      <c r="Q58" s="99"/>
      <c r="R58" s="99"/>
      <c r="S58" s="99"/>
      <c r="T58" s="99"/>
      <c r="U58" s="100"/>
    </row>
    <row r="59" spans="2:21" ht="53.25" customHeight="1" x14ac:dyDescent="0.2">
      <c r="B59" s="98" t="s">
        <v>147</v>
      </c>
      <c r="C59" s="99"/>
      <c r="D59" s="99"/>
      <c r="E59" s="99"/>
      <c r="F59" s="99"/>
      <c r="G59" s="99"/>
      <c r="H59" s="99"/>
      <c r="I59" s="99"/>
      <c r="J59" s="99"/>
      <c r="K59" s="99"/>
      <c r="L59" s="99"/>
      <c r="M59" s="99"/>
      <c r="N59" s="99"/>
      <c r="O59" s="99"/>
      <c r="P59" s="99"/>
      <c r="Q59" s="99"/>
      <c r="R59" s="99"/>
      <c r="S59" s="99"/>
      <c r="T59" s="99"/>
      <c r="U59" s="100"/>
    </row>
    <row r="60" spans="2:21" ht="45" customHeight="1" x14ac:dyDescent="0.2">
      <c r="B60" s="98" t="s">
        <v>148</v>
      </c>
      <c r="C60" s="99"/>
      <c r="D60" s="99"/>
      <c r="E60" s="99"/>
      <c r="F60" s="99"/>
      <c r="G60" s="99"/>
      <c r="H60" s="99"/>
      <c r="I60" s="99"/>
      <c r="J60" s="99"/>
      <c r="K60" s="99"/>
      <c r="L60" s="99"/>
      <c r="M60" s="99"/>
      <c r="N60" s="99"/>
      <c r="O60" s="99"/>
      <c r="P60" s="99"/>
      <c r="Q60" s="99"/>
      <c r="R60" s="99"/>
      <c r="S60" s="99"/>
      <c r="T60" s="99"/>
      <c r="U60" s="100"/>
    </row>
    <row r="61" spans="2:21" ht="45" customHeight="1" x14ac:dyDescent="0.2">
      <c r="B61" s="98" t="s">
        <v>149</v>
      </c>
      <c r="C61" s="99"/>
      <c r="D61" s="99"/>
      <c r="E61" s="99"/>
      <c r="F61" s="99"/>
      <c r="G61" s="99"/>
      <c r="H61" s="99"/>
      <c r="I61" s="99"/>
      <c r="J61" s="99"/>
      <c r="K61" s="99"/>
      <c r="L61" s="99"/>
      <c r="M61" s="99"/>
      <c r="N61" s="99"/>
      <c r="O61" s="99"/>
      <c r="P61" s="99"/>
      <c r="Q61" s="99"/>
      <c r="R61" s="99"/>
      <c r="S61" s="99"/>
      <c r="T61" s="99"/>
      <c r="U61" s="100"/>
    </row>
    <row r="62" spans="2:21" ht="48.75" customHeight="1" x14ac:dyDescent="0.2">
      <c r="B62" s="98" t="s">
        <v>150</v>
      </c>
      <c r="C62" s="99"/>
      <c r="D62" s="99"/>
      <c r="E62" s="99"/>
      <c r="F62" s="99"/>
      <c r="G62" s="99"/>
      <c r="H62" s="99"/>
      <c r="I62" s="99"/>
      <c r="J62" s="99"/>
      <c r="K62" s="99"/>
      <c r="L62" s="99"/>
      <c r="M62" s="99"/>
      <c r="N62" s="99"/>
      <c r="O62" s="99"/>
      <c r="P62" s="99"/>
      <c r="Q62" s="99"/>
      <c r="R62" s="99"/>
      <c r="S62" s="99"/>
      <c r="T62" s="99"/>
      <c r="U62" s="100"/>
    </row>
    <row r="63" spans="2:21" ht="63" customHeight="1" x14ac:dyDescent="0.2">
      <c r="B63" s="98" t="s">
        <v>151</v>
      </c>
      <c r="C63" s="99"/>
      <c r="D63" s="99"/>
      <c r="E63" s="99"/>
      <c r="F63" s="99"/>
      <c r="G63" s="99"/>
      <c r="H63" s="99"/>
      <c r="I63" s="99"/>
      <c r="J63" s="99"/>
      <c r="K63" s="99"/>
      <c r="L63" s="99"/>
      <c r="M63" s="99"/>
      <c r="N63" s="99"/>
      <c r="O63" s="99"/>
      <c r="P63" s="99"/>
      <c r="Q63" s="99"/>
      <c r="R63" s="99"/>
      <c r="S63" s="99"/>
      <c r="T63" s="99"/>
      <c r="U63" s="100"/>
    </row>
    <row r="64" spans="2:21" ht="45" customHeight="1" x14ac:dyDescent="0.2">
      <c r="B64" s="98" t="s">
        <v>152</v>
      </c>
      <c r="C64" s="99"/>
      <c r="D64" s="99"/>
      <c r="E64" s="99"/>
      <c r="F64" s="99"/>
      <c r="G64" s="99"/>
      <c r="H64" s="99"/>
      <c r="I64" s="99"/>
      <c r="J64" s="99"/>
      <c r="K64" s="99"/>
      <c r="L64" s="99"/>
      <c r="M64" s="99"/>
      <c r="N64" s="99"/>
      <c r="O64" s="99"/>
      <c r="P64" s="99"/>
      <c r="Q64" s="99"/>
      <c r="R64" s="99"/>
      <c r="S64" s="99"/>
      <c r="T64" s="99"/>
      <c r="U64" s="100"/>
    </row>
    <row r="65" spans="2:21" ht="60" customHeight="1" x14ac:dyDescent="0.2">
      <c r="B65" s="98" t="s">
        <v>153</v>
      </c>
      <c r="C65" s="99"/>
      <c r="D65" s="99"/>
      <c r="E65" s="99"/>
      <c r="F65" s="99"/>
      <c r="G65" s="99"/>
      <c r="H65" s="99"/>
      <c r="I65" s="99"/>
      <c r="J65" s="99"/>
      <c r="K65" s="99"/>
      <c r="L65" s="99"/>
      <c r="M65" s="99"/>
      <c r="N65" s="99"/>
      <c r="O65" s="99"/>
      <c r="P65" s="99"/>
      <c r="Q65" s="99"/>
      <c r="R65" s="99"/>
      <c r="S65" s="99"/>
      <c r="T65" s="99"/>
      <c r="U65" s="100"/>
    </row>
    <row r="66" spans="2:21" ht="45" customHeight="1" x14ac:dyDescent="0.2">
      <c r="B66" s="98" t="s">
        <v>154</v>
      </c>
      <c r="C66" s="99"/>
      <c r="D66" s="99"/>
      <c r="E66" s="99"/>
      <c r="F66" s="99"/>
      <c r="G66" s="99"/>
      <c r="H66" s="99"/>
      <c r="I66" s="99"/>
      <c r="J66" s="99"/>
      <c r="K66" s="99"/>
      <c r="L66" s="99"/>
      <c r="M66" s="99"/>
      <c r="N66" s="99"/>
      <c r="O66" s="99"/>
      <c r="P66" s="99"/>
      <c r="Q66" s="99"/>
      <c r="R66" s="99"/>
      <c r="S66" s="99"/>
      <c r="T66" s="99"/>
      <c r="U66" s="100"/>
    </row>
    <row r="67" spans="2:21" ht="60.75" customHeight="1" x14ac:dyDescent="0.2">
      <c r="B67" s="98" t="s">
        <v>155</v>
      </c>
      <c r="C67" s="99"/>
      <c r="D67" s="99"/>
      <c r="E67" s="99"/>
      <c r="F67" s="99"/>
      <c r="G67" s="99"/>
      <c r="H67" s="99"/>
      <c r="I67" s="99"/>
      <c r="J67" s="99"/>
      <c r="K67" s="99"/>
      <c r="L67" s="99"/>
      <c r="M67" s="99"/>
      <c r="N67" s="99"/>
      <c r="O67" s="99"/>
      <c r="P67" s="99"/>
      <c r="Q67" s="99"/>
      <c r="R67" s="99"/>
      <c r="S67" s="99"/>
      <c r="T67" s="99"/>
      <c r="U67" s="100"/>
    </row>
    <row r="68" spans="2:21" ht="48.75" customHeight="1" x14ac:dyDescent="0.2">
      <c r="B68" s="98" t="s">
        <v>156</v>
      </c>
      <c r="C68" s="99"/>
      <c r="D68" s="99"/>
      <c r="E68" s="99"/>
      <c r="F68" s="99"/>
      <c r="G68" s="99"/>
      <c r="H68" s="99"/>
      <c r="I68" s="99"/>
      <c r="J68" s="99"/>
      <c r="K68" s="99"/>
      <c r="L68" s="99"/>
      <c r="M68" s="99"/>
      <c r="N68" s="99"/>
      <c r="O68" s="99"/>
      <c r="P68" s="99"/>
      <c r="Q68" s="99"/>
      <c r="R68" s="99"/>
      <c r="S68" s="99"/>
      <c r="T68" s="99"/>
      <c r="U68" s="100"/>
    </row>
    <row r="69" spans="2:21" ht="59.25" customHeight="1" x14ac:dyDescent="0.2">
      <c r="B69" s="98" t="s">
        <v>157</v>
      </c>
      <c r="C69" s="99"/>
      <c r="D69" s="99"/>
      <c r="E69" s="99"/>
      <c r="F69" s="99"/>
      <c r="G69" s="99"/>
      <c r="H69" s="99"/>
      <c r="I69" s="99"/>
      <c r="J69" s="99"/>
      <c r="K69" s="99"/>
      <c r="L69" s="99"/>
      <c r="M69" s="99"/>
      <c r="N69" s="99"/>
      <c r="O69" s="99"/>
      <c r="P69" s="99"/>
      <c r="Q69" s="99"/>
      <c r="R69" s="99"/>
      <c r="S69" s="99"/>
      <c r="T69" s="99"/>
      <c r="U69" s="100"/>
    </row>
    <row r="70" spans="2:21" ht="45" customHeight="1" x14ac:dyDescent="0.2">
      <c r="B70" s="98" t="s">
        <v>158</v>
      </c>
      <c r="C70" s="99"/>
      <c r="D70" s="99"/>
      <c r="E70" s="99"/>
      <c r="F70" s="99"/>
      <c r="G70" s="99"/>
      <c r="H70" s="99"/>
      <c r="I70" s="99"/>
      <c r="J70" s="99"/>
      <c r="K70" s="99"/>
      <c r="L70" s="99"/>
      <c r="M70" s="99"/>
      <c r="N70" s="99"/>
      <c r="O70" s="99"/>
      <c r="P70" s="99"/>
      <c r="Q70" s="99"/>
      <c r="R70" s="99"/>
      <c r="S70" s="99"/>
      <c r="T70" s="99"/>
      <c r="U70" s="100"/>
    </row>
    <row r="71" spans="2:21" ht="48" customHeight="1" thickBot="1" x14ac:dyDescent="0.25">
      <c r="B71" s="101" t="s">
        <v>159</v>
      </c>
      <c r="C71" s="102"/>
      <c r="D71" s="102"/>
      <c r="E71" s="102"/>
      <c r="F71" s="102"/>
      <c r="G71" s="102"/>
      <c r="H71" s="102"/>
      <c r="I71" s="102"/>
      <c r="J71" s="102"/>
      <c r="K71" s="102"/>
      <c r="L71" s="102"/>
      <c r="M71" s="102"/>
      <c r="N71" s="102"/>
      <c r="O71" s="102"/>
      <c r="P71" s="102"/>
      <c r="Q71" s="102"/>
      <c r="R71" s="102"/>
      <c r="S71" s="102"/>
      <c r="T71" s="102"/>
      <c r="U71" s="103"/>
    </row>
  </sheetData>
  <mergeCells count="132">
    <mergeCell ref="B66:U66"/>
    <mergeCell ref="B67:U67"/>
    <mergeCell ref="B68:U68"/>
    <mergeCell ref="B69:U69"/>
    <mergeCell ref="B70:U70"/>
    <mergeCell ref="B71:U71"/>
    <mergeCell ref="B60:U60"/>
    <mergeCell ref="B61:U61"/>
    <mergeCell ref="B62:U62"/>
    <mergeCell ref="B63:U63"/>
    <mergeCell ref="B64:U64"/>
    <mergeCell ref="B65:U65"/>
    <mergeCell ref="B54:U54"/>
    <mergeCell ref="B55:U55"/>
    <mergeCell ref="B56:U56"/>
    <mergeCell ref="B57:U57"/>
    <mergeCell ref="B58:U58"/>
    <mergeCell ref="B59:U59"/>
    <mergeCell ref="B48:U48"/>
    <mergeCell ref="B49:U49"/>
    <mergeCell ref="B50:U50"/>
    <mergeCell ref="B51:U51"/>
    <mergeCell ref="B52:U52"/>
    <mergeCell ref="B53:U53"/>
    <mergeCell ref="B41:D41"/>
    <mergeCell ref="B42:D42"/>
    <mergeCell ref="B44:U44"/>
    <mergeCell ref="B45:U45"/>
    <mergeCell ref="B46:U46"/>
    <mergeCell ref="B47:U47"/>
    <mergeCell ref="C36:H36"/>
    <mergeCell ref="I36:K36"/>
    <mergeCell ref="L36:O36"/>
    <mergeCell ref="C37:H37"/>
    <mergeCell ref="I37:K37"/>
    <mergeCell ref="L37:O37"/>
    <mergeCell ref="C34:H34"/>
    <mergeCell ref="I34:K34"/>
    <mergeCell ref="L34:O34"/>
    <mergeCell ref="C35:H35"/>
    <mergeCell ref="I35:K35"/>
    <mergeCell ref="L35:O35"/>
    <mergeCell ref="C32:H32"/>
    <mergeCell ref="I32:K32"/>
    <mergeCell ref="L32:O32"/>
    <mergeCell ref="C33:H33"/>
    <mergeCell ref="I33:K33"/>
    <mergeCell ref="L33:O33"/>
    <mergeCell ref="C30:H30"/>
    <mergeCell ref="I30:K30"/>
    <mergeCell ref="L30:O30"/>
    <mergeCell ref="C31:H31"/>
    <mergeCell ref="I31:K31"/>
    <mergeCell ref="L31:O31"/>
    <mergeCell ref="C28:H28"/>
    <mergeCell ref="I28:K28"/>
    <mergeCell ref="L28:O28"/>
    <mergeCell ref="C29:H29"/>
    <mergeCell ref="I29:K29"/>
    <mergeCell ref="L29:O29"/>
    <mergeCell ref="C26:H26"/>
    <mergeCell ref="I26:K26"/>
    <mergeCell ref="L26:O26"/>
    <mergeCell ref="C27:H27"/>
    <mergeCell ref="I27:K27"/>
    <mergeCell ref="L27:O27"/>
    <mergeCell ref="C24:H24"/>
    <mergeCell ref="I24:K24"/>
    <mergeCell ref="L24:O24"/>
    <mergeCell ref="C25:H25"/>
    <mergeCell ref="I25:K25"/>
    <mergeCell ref="L25:O25"/>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C14:H14"/>
    <mergeCell ref="I14:K14"/>
    <mergeCell ref="L14:O14"/>
    <mergeCell ref="B8:B10"/>
    <mergeCell ref="C8:H10"/>
    <mergeCell ref="I8:S8"/>
    <mergeCell ref="T8:U8"/>
    <mergeCell ref="I9:K10"/>
    <mergeCell ref="L9:O10"/>
    <mergeCell ref="B1:L1"/>
    <mergeCell ref="D4:H4"/>
    <mergeCell ref="L4:O4"/>
    <mergeCell ref="Q4:R4"/>
    <mergeCell ref="T4:U4"/>
    <mergeCell ref="B5:U5"/>
    <mergeCell ref="P9:P10"/>
    <mergeCell ref="Q9:Q10"/>
    <mergeCell ref="R9:S9"/>
    <mergeCell ref="T9:T10"/>
    <mergeCell ref="U9:U10"/>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1"/>
  <sheetViews>
    <sheetView view="pageBreakPreview" zoomScale="80" zoomScaleNormal="80" zoomScaleSheetLayoutView="80" workbookViewId="0">
      <selection activeCell="R13" sqref="R13"/>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6" t="s">
        <v>0</v>
      </c>
      <c r="C1" s="56"/>
      <c r="D1" s="56"/>
      <c r="E1" s="56"/>
      <c r="F1" s="56"/>
      <c r="G1" s="56"/>
      <c r="H1" s="56"/>
      <c r="I1" s="56"/>
      <c r="J1" s="56"/>
      <c r="K1" s="56"/>
      <c r="L1" s="56"/>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70.5" customHeight="1" thickTop="1" x14ac:dyDescent="0.2">
      <c r="B4" s="8" t="s">
        <v>6</v>
      </c>
      <c r="C4" s="9" t="s">
        <v>160</v>
      </c>
      <c r="D4" s="77" t="s">
        <v>161</v>
      </c>
      <c r="E4" s="77"/>
      <c r="F4" s="77"/>
      <c r="G4" s="77"/>
      <c r="H4" s="77"/>
      <c r="I4" s="10"/>
      <c r="J4" s="11" t="s">
        <v>9</v>
      </c>
      <c r="K4" s="12" t="s">
        <v>10</v>
      </c>
      <c r="L4" s="78" t="s">
        <v>11</v>
      </c>
      <c r="M4" s="78"/>
      <c r="N4" s="78"/>
      <c r="O4" s="78"/>
      <c r="P4" s="11" t="s">
        <v>12</v>
      </c>
      <c r="Q4" s="78" t="s">
        <v>162</v>
      </c>
      <c r="R4" s="78"/>
      <c r="S4" s="11" t="s">
        <v>14</v>
      </c>
      <c r="T4" s="78" t="s">
        <v>163</v>
      </c>
      <c r="U4" s="79"/>
    </row>
    <row r="5" spans="1:21" ht="15.75" customHeight="1" x14ac:dyDescent="0.2">
      <c r="B5" s="80" t="s">
        <v>15</v>
      </c>
      <c r="C5" s="81"/>
      <c r="D5" s="81"/>
      <c r="E5" s="81"/>
      <c r="F5" s="81"/>
      <c r="G5" s="81"/>
      <c r="H5" s="81"/>
      <c r="I5" s="81"/>
      <c r="J5" s="81"/>
      <c r="K5" s="81"/>
      <c r="L5" s="81"/>
      <c r="M5" s="81"/>
      <c r="N5" s="81"/>
      <c r="O5" s="81"/>
      <c r="P5" s="81"/>
      <c r="Q5" s="81"/>
      <c r="R5" s="81"/>
      <c r="S5" s="81"/>
      <c r="T5" s="81"/>
      <c r="U5" s="82"/>
    </row>
    <row r="6" spans="1:21" ht="68.25" customHeight="1" thickBot="1" x14ac:dyDescent="0.25">
      <c r="B6" s="13" t="s">
        <v>16</v>
      </c>
      <c r="C6" s="88" t="s">
        <v>17</v>
      </c>
      <c r="D6" s="88"/>
      <c r="E6" s="88"/>
      <c r="F6" s="88"/>
      <c r="G6" s="88"/>
      <c r="H6" s="14"/>
      <c r="I6" s="14"/>
      <c r="J6" s="14" t="s">
        <v>18</v>
      </c>
      <c r="K6" s="88" t="s">
        <v>19</v>
      </c>
      <c r="L6" s="88"/>
      <c r="M6" s="88"/>
      <c r="N6" s="15"/>
      <c r="O6" s="16" t="s">
        <v>20</v>
      </c>
      <c r="P6" s="88" t="s">
        <v>21</v>
      </c>
      <c r="Q6" s="88"/>
      <c r="R6" s="17"/>
      <c r="S6" s="16" t="s">
        <v>22</v>
      </c>
      <c r="T6" s="88" t="s">
        <v>164</v>
      </c>
      <c r="U6" s="89"/>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0" t="s">
        <v>25</v>
      </c>
      <c r="C8" s="63" t="s">
        <v>26</v>
      </c>
      <c r="D8" s="63"/>
      <c r="E8" s="63"/>
      <c r="F8" s="63"/>
      <c r="G8" s="63"/>
      <c r="H8" s="64"/>
      <c r="I8" s="69" t="s">
        <v>27</v>
      </c>
      <c r="J8" s="70"/>
      <c r="K8" s="70"/>
      <c r="L8" s="70"/>
      <c r="M8" s="70"/>
      <c r="N8" s="70"/>
      <c r="O8" s="70"/>
      <c r="P8" s="70"/>
      <c r="Q8" s="70"/>
      <c r="R8" s="70"/>
      <c r="S8" s="71"/>
      <c r="T8" s="72" t="s">
        <v>28</v>
      </c>
      <c r="U8" s="73"/>
    </row>
    <row r="9" spans="1:21" ht="19.5" customHeight="1" x14ac:dyDescent="0.2">
      <c r="B9" s="61"/>
      <c r="C9" s="65"/>
      <c r="D9" s="65"/>
      <c r="E9" s="65"/>
      <c r="F9" s="65"/>
      <c r="G9" s="65"/>
      <c r="H9" s="66"/>
      <c r="I9" s="74" t="s">
        <v>29</v>
      </c>
      <c r="J9" s="63"/>
      <c r="K9" s="63"/>
      <c r="L9" s="63" t="s">
        <v>30</v>
      </c>
      <c r="M9" s="63"/>
      <c r="N9" s="63"/>
      <c r="O9" s="63"/>
      <c r="P9" s="63" t="s">
        <v>31</v>
      </c>
      <c r="Q9" s="63" t="s">
        <v>32</v>
      </c>
      <c r="R9" s="83" t="s">
        <v>33</v>
      </c>
      <c r="S9" s="84"/>
      <c r="T9" s="63" t="s">
        <v>34</v>
      </c>
      <c r="U9" s="85" t="s">
        <v>35</v>
      </c>
    </row>
    <row r="10" spans="1:21" ht="26.25" customHeight="1" thickBot="1" x14ac:dyDescent="0.25">
      <c r="B10" s="62"/>
      <c r="C10" s="67"/>
      <c r="D10" s="67"/>
      <c r="E10" s="67"/>
      <c r="F10" s="67"/>
      <c r="G10" s="67"/>
      <c r="H10" s="68"/>
      <c r="I10" s="75"/>
      <c r="J10" s="76"/>
      <c r="K10" s="76"/>
      <c r="L10" s="76"/>
      <c r="M10" s="76"/>
      <c r="N10" s="76"/>
      <c r="O10" s="76"/>
      <c r="P10" s="76"/>
      <c r="Q10" s="76"/>
      <c r="R10" s="19" t="s">
        <v>36</v>
      </c>
      <c r="S10" s="20" t="s">
        <v>37</v>
      </c>
      <c r="T10" s="76"/>
      <c r="U10" s="86"/>
    </row>
    <row r="11" spans="1:21" ht="103.5" customHeight="1" thickTop="1" thickBot="1" x14ac:dyDescent="0.25">
      <c r="A11" s="21"/>
      <c r="B11" s="22" t="s">
        <v>38</v>
      </c>
      <c r="C11" s="87" t="s">
        <v>165</v>
      </c>
      <c r="D11" s="87"/>
      <c r="E11" s="87"/>
      <c r="F11" s="87"/>
      <c r="G11" s="87"/>
      <c r="H11" s="87"/>
      <c r="I11" s="87" t="s">
        <v>166</v>
      </c>
      <c r="J11" s="87"/>
      <c r="K11" s="87"/>
      <c r="L11" s="87" t="s">
        <v>167</v>
      </c>
      <c r="M11" s="87"/>
      <c r="N11" s="87"/>
      <c r="O11" s="87"/>
      <c r="P11" s="23" t="s">
        <v>42</v>
      </c>
      <c r="Q11" s="23" t="s">
        <v>168</v>
      </c>
      <c r="R11" s="23">
        <v>89.46</v>
      </c>
      <c r="S11" s="23">
        <v>89.46</v>
      </c>
      <c r="T11" s="23">
        <v>92.2</v>
      </c>
      <c r="U11" s="45">
        <f>103.1</f>
        <v>103.1</v>
      </c>
    </row>
    <row r="12" spans="1:21" ht="101.25" customHeight="1" thickTop="1" thickBot="1" x14ac:dyDescent="0.25">
      <c r="A12" s="21"/>
      <c r="B12" s="22" t="s">
        <v>47</v>
      </c>
      <c r="C12" s="87" t="s">
        <v>169</v>
      </c>
      <c r="D12" s="87"/>
      <c r="E12" s="87"/>
      <c r="F12" s="87"/>
      <c r="G12" s="87"/>
      <c r="H12" s="87"/>
      <c r="I12" s="87" t="s">
        <v>170</v>
      </c>
      <c r="J12" s="87"/>
      <c r="K12" s="87"/>
      <c r="L12" s="87" t="s">
        <v>171</v>
      </c>
      <c r="M12" s="87"/>
      <c r="N12" s="87"/>
      <c r="O12" s="87"/>
      <c r="P12" s="23" t="s">
        <v>42</v>
      </c>
      <c r="Q12" s="23" t="s">
        <v>168</v>
      </c>
      <c r="R12" s="23">
        <v>27.8</v>
      </c>
      <c r="S12" s="23">
        <v>27.8</v>
      </c>
      <c r="T12" s="23">
        <v>14.6</v>
      </c>
      <c r="U12" s="45">
        <f>52.5</f>
        <v>52.5</v>
      </c>
    </row>
    <row r="13" spans="1:21" ht="81.75" customHeight="1" thickTop="1" x14ac:dyDescent="0.2">
      <c r="A13" s="21"/>
      <c r="B13" s="22" t="s">
        <v>53</v>
      </c>
      <c r="C13" s="87" t="s">
        <v>172</v>
      </c>
      <c r="D13" s="87"/>
      <c r="E13" s="87"/>
      <c r="F13" s="87"/>
      <c r="G13" s="87"/>
      <c r="H13" s="87"/>
      <c r="I13" s="87" t="s">
        <v>173</v>
      </c>
      <c r="J13" s="87"/>
      <c r="K13" s="87"/>
      <c r="L13" s="87" t="s">
        <v>174</v>
      </c>
      <c r="M13" s="87"/>
      <c r="N13" s="87"/>
      <c r="O13" s="87"/>
      <c r="P13" s="23" t="s">
        <v>42</v>
      </c>
      <c r="Q13" s="23" t="s">
        <v>88</v>
      </c>
      <c r="R13" s="23">
        <v>74.5</v>
      </c>
      <c r="S13" s="23">
        <v>74.53</v>
      </c>
      <c r="T13" s="23">
        <v>160</v>
      </c>
      <c r="U13" s="45">
        <f>214.7</f>
        <v>214.7</v>
      </c>
    </row>
    <row r="14" spans="1:21" ht="75" customHeight="1" x14ac:dyDescent="0.2">
      <c r="A14" s="21"/>
      <c r="B14" s="24" t="s">
        <v>44</v>
      </c>
      <c r="C14" s="90" t="s">
        <v>44</v>
      </c>
      <c r="D14" s="90"/>
      <c r="E14" s="90"/>
      <c r="F14" s="90"/>
      <c r="G14" s="90"/>
      <c r="H14" s="90"/>
      <c r="I14" s="90" t="s">
        <v>175</v>
      </c>
      <c r="J14" s="90"/>
      <c r="K14" s="90"/>
      <c r="L14" s="90" t="s">
        <v>176</v>
      </c>
      <c r="M14" s="90"/>
      <c r="N14" s="90"/>
      <c r="O14" s="90"/>
      <c r="P14" s="25" t="s">
        <v>42</v>
      </c>
      <c r="Q14" s="25" t="s">
        <v>177</v>
      </c>
      <c r="R14" s="25">
        <v>96.5</v>
      </c>
      <c r="S14" s="25">
        <v>96.5</v>
      </c>
      <c r="T14" s="25">
        <v>93.5</v>
      </c>
      <c r="U14" s="46">
        <f>96.9</f>
        <v>96.9</v>
      </c>
    </row>
    <row r="15" spans="1:21" ht="75" customHeight="1" x14ac:dyDescent="0.2">
      <c r="A15" s="21"/>
      <c r="B15" s="24" t="s">
        <v>44</v>
      </c>
      <c r="C15" s="90" t="s">
        <v>44</v>
      </c>
      <c r="D15" s="90"/>
      <c r="E15" s="90"/>
      <c r="F15" s="90"/>
      <c r="G15" s="90"/>
      <c r="H15" s="90"/>
      <c r="I15" s="90" t="s">
        <v>178</v>
      </c>
      <c r="J15" s="90"/>
      <c r="K15" s="90"/>
      <c r="L15" s="90" t="s">
        <v>179</v>
      </c>
      <c r="M15" s="90"/>
      <c r="N15" s="90"/>
      <c r="O15" s="90"/>
      <c r="P15" s="25" t="s">
        <v>180</v>
      </c>
      <c r="Q15" s="25" t="s">
        <v>77</v>
      </c>
      <c r="R15" s="27">
        <v>6400</v>
      </c>
      <c r="S15" s="27">
        <v>6400</v>
      </c>
      <c r="T15" s="27">
        <v>6278.95</v>
      </c>
      <c r="U15" s="46">
        <f>98.1</f>
        <v>98.1</v>
      </c>
    </row>
    <row r="16" spans="1:21" ht="121.5" customHeight="1" x14ac:dyDescent="0.2">
      <c r="A16" s="21"/>
      <c r="B16" s="24" t="s">
        <v>44</v>
      </c>
      <c r="C16" s="90" t="s">
        <v>181</v>
      </c>
      <c r="D16" s="90"/>
      <c r="E16" s="90"/>
      <c r="F16" s="90"/>
      <c r="G16" s="90"/>
      <c r="H16" s="90"/>
      <c r="I16" s="90" t="s">
        <v>182</v>
      </c>
      <c r="J16" s="90"/>
      <c r="K16" s="90"/>
      <c r="L16" s="90" t="s">
        <v>183</v>
      </c>
      <c r="M16" s="90"/>
      <c r="N16" s="90"/>
      <c r="O16" s="90"/>
      <c r="P16" s="25" t="s">
        <v>42</v>
      </c>
      <c r="Q16" s="25" t="s">
        <v>84</v>
      </c>
      <c r="R16" s="25">
        <v>90</v>
      </c>
      <c r="S16" s="25">
        <v>90</v>
      </c>
      <c r="T16" s="25">
        <v>92.1</v>
      </c>
      <c r="U16" s="46">
        <f>102.3</f>
        <v>102.3</v>
      </c>
    </row>
    <row r="17" spans="1:22" ht="84.75" customHeight="1" x14ac:dyDescent="0.2">
      <c r="A17" s="21"/>
      <c r="B17" s="24" t="s">
        <v>44</v>
      </c>
      <c r="C17" s="90" t="s">
        <v>44</v>
      </c>
      <c r="D17" s="90"/>
      <c r="E17" s="90"/>
      <c r="F17" s="90"/>
      <c r="G17" s="90"/>
      <c r="H17" s="90"/>
      <c r="I17" s="90" t="s">
        <v>184</v>
      </c>
      <c r="J17" s="90"/>
      <c r="K17" s="90"/>
      <c r="L17" s="90" t="s">
        <v>185</v>
      </c>
      <c r="M17" s="90"/>
      <c r="N17" s="90"/>
      <c r="O17" s="90"/>
      <c r="P17" s="25" t="s">
        <v>186</v>
      </c>
      <c r="Q17" s="25" t="s">
        <v>187</v>
      </c>
      <c r="R17" s="25">
        <v>76.900000000000006</v>
      </c>
      <c r="S17" s="25">
        <v>76.900000000000006</v>
      </c>
      <c r="T17" s="25">
        <v>81.3</v>
      </c>
      <c r="U17" s="46">
        <f>105.7</f>
        <v>105.7</v>
      </c>
    </row>
    <row r="18" spans="1:22" ht="123.75" customHeight="1" thickBot="1" x14ac:dyDescent="0.25">
      <c r="A18" s="21"/>
      <c r="B18" s="24" t="s">
        <v>44</v>
      </c>
      <c r="C18" s="90" t="s">
        <v>188</v>
      </c>
      <c r="D18" s="90"/>
      <c r="E18" s="90"/>
      <c r="F18" s="90"/>
      <c r="G18" s="90"/>
      <c r="H18" s="90"/>
      <c r="I18" s="90" t="s">
        <v>189</v>
      </c>
      <c r="J18" s="90"/>
      <c r="K18" s="90"/>
      <c r="L18" s="90" t="s">
        <v>190</v>
      </c>
      <c r="M18" s="90"/>
      <c r="N18" s="90"/>
      <c r="O18" s="90"/>
      <c r="P18" s="25" t="s">
        <v>191</v>
      </c>
      <c r="Q18" s="25" t="s">
        <v>61</v>
      </c>
      <c r="R18" s="27">
        <v>3</v>
      </c>
      <c r="S18" s="27">
        <v>3</v>
      </c>
      <c r="T18" s="27">
        <v>3</v>
      </c>
      <c r="U18" s="46">
        <f>100</f>
        <v>100</v>
      </c>
    </row>
    <row r="19" spans="1:22" ht="75" customHeight="1" thickTop="1" x14ac:dyDescent="0.2">
      <c r="A19" s="21"/>
      <c r="B19" s="22" t="s">
        <v>64</v>
      </c>
      <c r="C19" s="87" t="s">
        <v>192</v>
      </c>
      <c r="D19" s="87"/>
      <c r="E19" s="87"/>
      <c r="F19" s="87"/>
      <c r="G19" s="87"/>
      <c r="H19" s="87"/>
      <c r="I19" s="87" t="s">
        <v>193</v>
      </c>
      <c r="J19" s="87"/>
      <c r="K19" s="87"/>
      <c r="L19" s="87" t="s">
        <v>194</v>
      </c>
      <c r="M19" s="87"/>
      <c r="N19" s="87"/>
      <c r="O19" s="87"/>
      <c r="P19" s="23" t="s">
        <v>42</v>
      </c>
      <c r="Q19" s="23" t="s">
        <v>61</v>
      </c>
      <c r="R19" s="23">
        <v>100</v>
      </c>
      <c r="S19" s="23">
        <v>100</v>
      </c>
      <c r="T19" s="23">
        <v>95.7</v>
      </c>
      <c r="U19" s="45">
        <f>95.7</f>
        <v>95.7</v>
      </c>
    </row>
    <row r="20" spans="1:22" ht="75" customHeight="1" x14ac:dyDescent="0.2">
      <c r="A20" s="21"/>
      <c r="B20" s="24" t="s">
        <v>44</v>
      </c>
      <c r="C20" s="90" t="s">
        <v>195</v>
      </c>
      <c r="D20" s="90"/>
      <c r="E20" s="90"/>
      <c r="F20" s="90"/>
      <c r="G20" s="90"/>
      <c r="H20" s="90"/>
      <c r="I20" s="90" t="s">
        <v>196</v>
      </c>
      <c r="J20" s="90"/>
      <c r="K20" s="90"/>
      <c r="L20" s="90" t="s">
        <v>197</v>
      </c>
      <c r="M20" s="90"/>
      <c r="N20" s="90"/>
      <c r="O20" s="90"/>
      <c r="P20" s="25" t="s">
        <v>42</v>
      </c>
      <c r="Q20" s="25" t="s">
        <v>61</v>
      </c>
      <c r="R20" s="25">
        <v>100</v>
      </c>
      <c r="S20" s="25">
        <v>100</v>
      </c>
      <c r="T20" s="25">
        <v>100</v>
      </c>
      <c r="U20" s="46">
        <f>100</f>
        <v>100</v>
      </c>
    </row>
    <row r="21" spans="1:22" ht="75" customHeight="1" x14ac:dyDescent="0.2">
      <c r="A21" s="21"/>
      <c r="B21" s="24" t="s">
        <v>44</v>
      </c>
      <c r="C21" s="90" t="s">
        <v>44</v>
      </c>
      <c r="D21" s="90"/>
      <c r="E21" s="90"/>
      <c r="F21" s="90"/>
      <c r="G21" s="90"/>
      <c r="H21" s="90"/>
      <c r="I21" s="90" t="s">
        <v>198</v>
      </c>
      <c r="J21" s="90"/>
      <c r="K21" s="90"/>
      <c r="L21" s="90" t="s">
        <v>199</v>
      </c>
      <c r="M21" s="90"/>
      <c r="N21" s="90"/>
      <c r="O21" s="90"/>
      <c r="P21" s="25" t="s">
        <v>42</v>
      </c>
      <c r="Q21" s="25" t="s">
        <v>88</v>
      </c>
      <c r="R21" s="25">
        <v>100</v>
      </c>
      <c r="S21" s="25">
        <v>100</v>
      </c>
      <c r="T21" s="25">
        <v>146.19999999999999</v>
      </c>
      <c r="U21" s="46">
        <f>146.2</f>
        <v>146.19999999999999</v>
      </c>
    </row>
    <row r="22" spans="1:22" ht="139.5" customHeight="1" thickBot="1" x14ac:dyDescent="0.25">
      <c r="A22" s="21"/>
      <c r="B22" s="24" t="s">
        <v>44</v>
      </c>
      <c r="C22" s="90" t="s">
        <v>200</v>
      </c>
      <c r="D22" s="90"/>
      <c r="E22" s="90"/>
      <c r="F22" s="90"/>
      <c r="G22" s="90"/>
      <c r="H22" s="90"/>
      <c r="I22" s="90" t="s">
        <v>201</v>
      </c>
      <c r="J22" s="90"/>
      <c r="K22" s="90"/>
      <c r="L22" s="90" t="s">
        <v>202</v>
      </c>
      <c r="M22" s="90"/>
      <c r="N22" s="90"/>
      <c r="O22" s="90"/>
      <c r="P22" s="25" t="s">
        <v>191</v>
      </c>
      <c r="Q22" s="25" t="s">
        <v>61</v>
      </c>
      <c r="R22" s="25">
        <v>100</v>
      </c>
      <c r="S22" s="25">
        <v>100</v>
      </c>
      <c r="T22" s="25">
        <v>100</v>
      </c>
      <c r="U22" s="51">
        <v>100</v>
      </c>
    </row>
    <row r="23" spans="1:22" ht="14.25" customHeight="1" thickTop="1" thickBot="1" x14ac:dyDescent="0.25">
      <c r="B23" s="4" t="s">
        <v>124</v>
      </c>
      <c r="C23" s="5"/>
      <c r="D23" s="5"/>
      <c r="E23" s="5"/>
      <c r="F23" s="5"/>
      <c r="G23" s="5"/>
      <c r="H23" s="6"/>
      <c r="I23" s="6"/>
      <c r="J23" s="6"/>
      <c r="K23" s="6"/>
      <c r="L23" s="6"/>
      <c r="M23" s="6"/>
      <c r="N23" s="6"/>
      <c r="O23" s="6"/>
      <c r="P23" s="6"/>
      <c r="Q23" s="6"/>
      <c r="R23" s="6"/>
      <c r="S23" s="6"/>
      <c r="T23" s="6"/>
      <c r="U23" s="47"/>
      <c r="V23" s="28"/>
    </row>
    <row r="24" spans="1:22" ht="26.25" customHeight="1" thickTop="1" x14ac:dyDescent="0.2">
      <c r="B24" s="29"/>
      <c r="C24" s="30"/>
      <c r="D24" s="30"/>
      <c r="E24" s="30"/>
      <c r="F24" s="30"/>
      <c r="G24" s="30"/>
      <c r="H24" s="31"/>
      <c r="I24" s="31"/>
      <c r="J24" s="31"/>
      <c r="K24" s="31"/>
      <c r="L24" s="31"/>
      <c r="M24" s="31"/>
      <c r="N24" s="31"/>
      <c r="O24" s="31"/>
      <c r="P24" s="31"/>
      <c r="Q24" s="31"/>
      <c r="R24" s="32"/>
      <c r="S24" s="33" t="s">
        <v>33</v>
      </c>
      <c r="T24" s="33" t="s">
        <v>125</v>
      </c>
      <c r="U24" s="48" t="s">
        <v>126</v>
      </c>
    </row>
    <row r="25" spans="1:22" ht="26.25" customHeight="1" thickBot="1" x14ac:dyDescent="0.25">
      <c r="B25" s="34"/>
      <c r="C25" s="35"/>
      <c r="D25" s="35"/>
      <c r="E25" s="35"/>
      <c r="F25" s="35"/>
      <c r="G25" s="35"/>
      <c r="H25" s="36"/>
      <c r="I25" s="36"/>
      <c r="J25" s="36"/>
      <c r="K25" s="36"/>
      <c r="L25" s="36"/>
      <c r="M25" s="36"/>
      <c r="N25" s="36"/>
      <c r="O25" s="36"/>
      <c r="P25" s="36"/>
      <c r="Q25" s="36"/>
      <c r="R25" s="36"/>
      <c r="S25" s="37" t="s">
        <v>127</v>
      </c>
      <c r="T25" s="38" t="s">
        <v>127</v>
      </c>
      <c r="U25" s="49" t="s">
        <v>128</v>
      </c>
    </row>
    <row r="26" spans="1:22" ht="13.5" customHeight="1" thickBot="1" x14ac:dyDescent="0.25">
      <c r="B26" s="91" t="s">
        <v>129</v>
      </c>
      <c r="C26" s="92"/>
      <c r="D26" s="92"/>
      <c r="E26" s="39"/>
      <c r="F26" s="39"/>
      <c r="G26" s="39"/>
      <c r="H26" s="40"/>
      <c r="I26" s="40"/>
      <c r="J26" s="40"/>
      <c r="K26" s="40"/>
      <c r="L26" s="40"/>
      <c r="M26" s="40"/>
      <c r="N26" s="40"/>
      <c r="O26" s="40"/>
      <c r="P26" s="41"/>
      <c r="Q26" s="41"/>
      <c r="R26" s="41"/>
      <c r="S26" s="52">
        <v>197.53218200000001</v>
      </c>
      <c r="T26" s="52">
        <v>196.70101324999999</v>
      </c>
      <c r="U26" s="53">
        <f>+IF(ISERR(T26/S26*100),"N/A",ROUND(T26/S26*100,1))</f>
        <v>99.6</v>
      </c>
    </row>
    <row r="27" spans="1:22" ht="13.5" customHeight="1" thickBot="1" x14ac:dyDescent="0.25">
      <c r="B27" s="93" t="s">
        <v>130</v>
      </c>
      <c r="C27" s="94"/>
      <c r="D27" s="94"/>
      <c r="E27" s="42"/>
      <c r="F27" s="42"/>
      <c r="G27" s="42"/>
      <c r="H27" s="43"/>
      <c r="I27" s="43"/>
      <c r="J27" s="43"/>
      <c r="K27" s="43"/>
      <c r="L27" s="43"/>
      <c r="M27" s="43"/>
      <c r="N27" s="43"/>
      <c r="O27" s="43"/>
      <c r="P27" s="44"/>
      <c r="Q27" s="44"/>
      <c r="R27" s="44"/>
      <c r="S27" s="52">
        <v>196.70101324999999</v>
      </c>
      <c r="T27" s="52">
        <v>196.70101324999999</v>
      </c>
      <c r="U27" s="53">
        <f>+IF(ISERR(T27/S27*100),"N/A",ROUND(T27/S27*100,1))</f>
        <v>100</v>
      </c>
    </row>
    <row r="28" spans="1:22" ht="14.85" customHeight="1" thickTop="1" thickBot="1" x14ac:dyDescent="0.25">
      <c r="B28" s="4" t="s">
        <v>131</v>
      </c>
      <c r="C28" s="5"/>
      <c r="D28" s="5"/>
      <c r="E28" s="5"/>
      <c r="F28" s="5"/>
      <c r="G28" s="5"/>
      <c r="H28" s="6"/>
      <c r="I28" s="6"/>
      <c r="J28" s="6"/>
      <c r="K28" s="6"/>
      <c r="L28" s="6"/>
      <c r="M28" s="6"/>
      <c r="N28" s="6"/>
      <c r="O28" s="6"/>
      <c r="P28" s="6"/>
      <c r="Q28" s="6"/>
      <c r="R28" s="6"/>
      <c r="S28" s="6"/>
      <c r="T28" s="6"/>
      <c r="U28" s="47"/>
    </row>
    <row r="29" spans="1:22" ht="44.25" customHeight="1" thickTop="1" x14ac:dyDescent="0.2">
      <c r="B29" s="95" t="s">
        <v>132</v>
      </c>
      <c r="C29" s="96"/>
      <c r="D29" s="96"/>
      <c r="E29" s="96"/>
      <c r="F29" s="96"/>
      <c r="G29" s="96"/>
      <c r="H29" s="96"/>
      <c r="I29" s="96"/>
      <c r="J29" s="96"/>
      <c r="K29" s="96"/>
      <c r="L29" s="96"/>
      <c r="M29" s="96"/>
      <c r="N29" s="96"/>
      <c r="O29" s="96"/>
      <c r="P29" s="96"/>
      <c r="Q29" s="96"/>
      <c r="R29" s="96"/>
      <c r="S29" s="96"/>
      <c r="T29" s="96"/>
      <c r="U29" s="104"/>
    </row>
    <row r="30" spans="1:22" ht="107.25" customHeight="1" x14ac:dyDescent="0.2">
      <c r="B30" s="98" t="s">
        <v>203</v>
      </c>
      <c r="C30" s="99"/>
      <c r="D30" s="99"/>
      <c r="E30" s="99"/>
      <c r="F30" s="99"/>
      <c r="G30" s="99"/>
      <c r="H30" s="99"/>
      <c r="I30" s="99"/>
      <c r="J30" s="99"/>
      <c r="K30" s="99"/>
      <c r="L30" s="99"/>
      <c r="M30" s="99"/>
      <c r="N30" s="99"/>
      <c r="O30" s="99"/>
      <c r="P30" s="99"/>
      <c r="Q30" s="99"/>
      <c r="R30" s="99"/>
      <c r="S30" s="99"/>
      <c r="T30" s="99"/>
      <c r="U30" s="105"/>
    </row>
    <row r="31" spans="1:22" ht="104.25" customHeight="1" x14ac:dyDescent="0.2">
      <c r="B31" s="98" t="s">
        <v>204</v>
      </c>
      <c r="C31" s="99"/>
      <c r="D31" s="99"/>
      <c r="E31" s="99"/>
      <c r="F31" s="99"/>
      <c r="G31" s="99"/>
      <c r="H31" s="99"/>
      <c r="I31" s="99"/>
      <c r="J31" s="99"/>
      <c r="K31" s="99"/>
      <c r="L31" s="99"/>
      <c r="M31" s="99"/>
      <c r="N31" s="99"/>
      <c r="O31" s="99"/>
      <c r="P31" s="99"/>
      <c r="Q31" s="99"/>
      <c r="R31" s="99"/>
      <c r="S31" s="99"/>
      <c r="T31" s="99"/>
      <c r="U31" s="105"/>
    </row>
    <row r="32" spans="1:22" ht="261" customHeight="1" x14ac:dyDescent="0.2">
      <c r="B32" s="98" t="s">
        <v>205</v>
      </c>
      <c r="C32" s="99"/>
      <c r="D32" s="99"/>
      <c r="E32" s="99"/>
      <c r="F32" s="99"/>
      <c r="G32" s="99"/>
      <c r="H32" s="99"/>
      <c r="I32" s="99"/>
      <c r="J32" s="99"/>
      <c r="K32" s="99"/>
      <c r="L32" s="99"/>
      <c r="M32" s="99"/>
      <c r="N32" s="99"/>
      <c r="O32" s="99"/>
      <c r="P32" s="99"/>
      <c r="Q32" s="99"/>
      <c r="R32" s="99"/>
      <c r="S32" s="99"/>
      <c r="T32" s="99"/>
      <c r="U32" s="105"/>
    </row>
    <row r="33" spans="2:21" ht="63.75" customHeight="1" x14ac:dyDescent="0.2">
      <c r="B33" s="98" t="s">
        <v>206</v>
      </c>
      <c r="C33" s="99"/>
      <c r="D33" s="99"/>
      <c r="E33" s="99"/>
      <c r="F33" s="99"/>
      <c r="G33" s="99"/>
      <c r="H33" s="99"/>
      <c r="I33" s="99"/>
      <c r="J33" s="99"/>
      <c r="K33" s="99"/>
      <c r="L33" s="99"/>
      <c r="M33" s="99"/>
      <c r="N33" s="99"/>
      <c r="O33" s="99"/>
      <c r="P33" s="99"/>
      <c r="Q33" s="99"/>
      <c r="R33" s="99"/>
      <c r="S33" s="99"/>
      <c r="T33" s="99"/>
      <c r="U33" s="105"/>
    </row>
    <row r="34" spans="2:21" ht="42.75" customHeight="1" x14ac:dyDescent="0.2">
      <c r="B34" s="98" t="s">
        <v>207</v>
      </c>
      <c r="C34" s="99"/>
      <c r="D34" s="99"/>
      <c r="E34" s="99"/>
      <c r="F34" s="99"/>
      <c r="G34" s="99"/>
      <c r="H34" s="99"/>
      <c r="I34" s="99"/>
      <c r="J34" s="99"/>
      <c r="K34" s="99"/>
      <c r="L34" s="99"/>
      <c r="M34" s="99"/>
      <c r="N34" s="99"/>
      <c r="O34" s="99"/>
      <c r="P34" s="99"/>
      <c r="Q34" s="99"/>
      <c r="R34" s="99"/>
      <c r="S34" s="99"/>
      <c r="T34" s="99"/>
      <c r="U34" s="105"/>
    </row>
    <row r="35" spans="2:21" ht="78.75" customHeight="1" x14ac:dyDescent="0.2">
      <c r="B35" s="98" t="s">
        <v>208</v>
      </c>
      <c r="C35" s="99"/>
      <c r="D35" s="99"/>
      <c r="E35" s="99"/>
      <c r="F35" s="99"/>
      <c r="G35" s="99"/>
      <c r="H35" s="99"/>
      <c r="I35" s="99"/>
      <c r="J35" s="99"/>
      <c r="K35" s="99"/>
      <c r="L35" s="99"/>
      <c r="M35" s="99"/>
      <c r="N35" s="99"/>
      <c r="O35" s="99"/>
      <c r="P35" s="99"/>
      <c r="Q35" s="99"/>
      <c r="R35" s="99"/>
      <c r="S35" s="99"/>
      <c r="T35" s="99"/>
      <c r="U35" s="105"/>
    </row>
    <row r="36" spans="2:21" ht="80.25" customHeight="1" x14ac:dyDescent="0.2">
      <c r="B36" s="98" t="s">
        <v>209</v>
      </c>
      <c r="C36" s="99"/>
      <c r="D36" s="99"/>
      <c r="E36" s="99"/>
      <c r="F36" s="99"/>
      <c r="G36" s="99"/>
      <c r="H36" s="99"/>
      <c r="I36" s="99"/>
      <c r="J36" s="99"/>
      <c r="K36" s="99"/>
      <c r="L36" s="99"/>
      <c r="M36" s="99"/>
      <c r="N36" s="99"/>
      <c r="O36" s="99"/>
      <c r="P36" s="99"/>
      <c r="Q36" s="99"/>
      <c r="R36" s="99"/>
      <c r="S36" s="99"/>
      <c r="T36" s="99"/>
      <c r="U36" s="105"/>
    </row>
    <row r="37" spans="2:21" ht="67.5" customHeight="1" x14ac:dyDescent="0.2">
      <c r="B37" s="98" t="s">
        <v>210</v>
      </c>
      <c r="C37" s="99"/>
      <c r="D37" s="99"/>
      <c r="E37" s="99"/>
      <c r="F37" s="99"/>
      <c r="G37" s="99"/>
      <c r="H37" s="99"/>
      <c r="I37" s="99"/>
      <c r="J37" s="99"/>
      <c r="K37" s="99"/>
      <c r="L37" s="99"/>
      <c r="M37" s="99"/>
      <c r="N37" s="99"/>
      <c r="O37" s="99"/>
      <c r="P37" s="99"/>
      <c r="Q37" s="99"/>
      <c r="R37" s="99"/>
      <c r="S37" s="99"/>
      <c r="T37" s="99"/>
      <c r="U37" s="105"/>
    </row>
    <row r="38" spans="2:21" ht="67.5" customHeight="1" x14ac:dyDescent="0.2">
      <c r="B38" s="98" t="s">
        <v>211</v>
      </c>
      <c r="C38" s="99"/>
      <c r="D38" s="99"/>
      <c r="E38" s="99"/>
      <c r="F38" s="99"/>
      <c r="G38" s="99"/>
      <c r="H38" s="99"/>
      <c r="I38" s="99"/>
      <c r="J38" s="99"/>
      <c r="K38" s="99"/>
      <c r="L38" s="99"/>
      <c r="M38" s="99"/>
      <c r="N38" s="99"/>
      <c r="O38" s="99"/>
      <c r="P38" s="99"/>
      <c r="Q38" s="99"/>
      <c r="R38" s="99"/>
      <c r="S38" s="99"/>
      <c r="T38" s="99"/>
      <c r="U38" s="100"/>
    </row>
    <row r="39" spans="2:21" ht="75.75" customHeight="1" x14ac:dyDescent="0.2">
      <c r="B39" s="98" t="s">
        <v>212</v>
      </c>
      <c r="C39" s="99"/>
      <c r="D39" s="99"/>
      <c r="E39" s="99"/>
      <c r="F39" s="99"/>
      <c r="G39" s="99"/>
      <c r="H39" s="99"/>
      <c r="I39" s="99"/>
      <c r="J39" s="99"/>
      <c r="K39" s="99"/>
      <c r="L39" s="99"/>
      <c r="M39" s="99"/>
      <c r="N39" s="99"/>
      <c r="O39" s="99"/>
      <c r="P39" s="99"/>
      <c r="Q39" s="99"/>
      <c r="R39" s="99"/>
      <c r="S39" s="99"/>
      <c r="T39" s="99"/>
      <c r="U39" s="100"/>
    </row>
    <row r="40" spans="2:21" ht="67.5" customHeight="1" x14ac:dyDescent="0.2">
      <c r="B40" s="98" t="s">
        <v>213</v>
      </c>
      <c r="C40" s="99"/>
      <c r="D40" s="99"/>
      <c r="E40" s="99"/>
      <c r="F40" s="99"/>
      <c r="G40" s="99"/>
      <c r="H40" s="99"/>
      <c r="I40" s="99"/>
      <c r="J40" s="99"/>
      <c r="K40" s="99"/>
      <c r="L40" s="99"/>
      <c r="M40" s="99"/>
      <c r="N40" s="99"/>
      <c r="O40" s="99"/>
      <c r="P40" s="99"/>
      <c r="Q40" s="99"/>
      <c r="R40" s="99"/>
      <c r="S40" s="99"/>
      <c r="T40" s="99"/>
      <c r="U40" s="100"/>
    </row>
    <row r="41" spans="2:21" ht="67.5" customHeight="1" thickBot="1" x14ac:dyDescent="0.25">
      <c r="B41" s="101" t="s">
        <v>214</v>
      </c>
      <c r="C41" s="102"/>
      <c r="D41" s="102"/>
      <c r="E41" s="102"/>
      <c r="F41" s="102"/>
      <c r="G41" s="102"/>
      <c r="H41" s="102"/>
      <c r="I41" s="102"/>
      <c r="J41" s="102"/>
      <c r="K41" s="102"/>
      <c r="L41" s="102"/>
      <c r="M41" s="102"/>
      <c r="N41" s="102"/>
      <c r="O41" s="102"/>
      <c r="P41" s="102"/>
      <c r="Q41" s="102"/>
      <c r="R41" s="102"/>
      <c r="S41" s="102"/>
      <c r="T41" s="102"/>
      <c r="U41" s="103"/>
    </row>
  </sheetData>
  <mergeCells count="72">
    <mergeCell ref="B41:U41"/>
    <mergeCell ref="B30:U30"/>
    <mergeCell ref="B31:U31"/>
    <mergeCell ref="B32:U32"/>
    <mergeCell ref="B33:U33"/>
    <mergeCell ref="B34:U34"/>
    <mergeCell ref="B35:U35"/>
    <mergeCell ref="B36:U36"/>
    <mergeCell ref="B37:U37"/>
    <mergeCell ref="B38:U38"/>
    <mergeCell ref="B39:U39"/>
    <mergeCell ref="B40:U40"/>
    <mergeCell ref="B29:U29"/>
    <mergeCell ref="C20:H20"/>
    <mergeCell ref="I20:K20"/>
    <mergeCell ref="L20:O20"/>
    <mergeCell ref="C21:H21"/>
    <mergeCell ref="I21:K21"/>
    <mergeCell ref="L21:O21"/>
    <mergeCell ref="C22:H22"/>
    <mergeCell ref="I22:K22"/>
    <mergeCell ref="L22:O22"/>
    <mergeCell ref="B26:D26"/>
    <mergeCell ref="B27:D27"/>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6"/>
  <sheetViews>
    <sheetView view="pageBreakPreview" zoomScale="80" zoomScaleNormal="80" zoomScaleSheetLayoutView="80" workbookViewId="0">
      <selection activeCell="R13" sqref="R13"/>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1.125"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6" t="s">
        <v>0</v>
      </c>
      <c r="C1" s="56"/>
      <c r="D1" s="56"/>
      <c r="E1" s="56"/>
      <c r="F1" s="56"/>
      <c r="G1" s="56"/>
      <c r="H1" s="56"/>
      <c r="I1" s="56"/>
      <c r="J1" s="56"/>
      <c r="K1" s="56"/>
      <c r="L1" s="56"/>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72" customHeight="1" thickTop="1" x14ac:dyDescent="0.2">
      <c r="B4" s="8" t="s">
        <v>6</v>
      </c>
      <c r="C4" s="9" t="s">
        <v>215</v>
      </c>
      <c r="D4" s="77" t="s">
        <v>216</v>
      </c>
      <c r="E4" s="77"/>
      <c r="F4" s="77"/>
      <c r="G4" s="77"/>
      <c r="H4" s="77"/>
      <c r="I4" s="10"/>
      <c r="J4" s="11" t="s">
        <v>9</v>
      </c>
      <c r="K4" s="12" t="s">
        <v>10</v>
      </c>
      <c r="L4" s="78" t="s">
        <v>11</v>
      </c>
      <c r="M4" s="78"/>
      <c r="N4" s="78"/>
      <c r="O4" s="78"/>
      <c r="P4" s="11" t="s">
        <v>12</v>
      </c>
      <c r="Q4" s="78" t="s">
        <v>217</v>
      </c>
      <c r="R4" s="78"/>
      <c r="S4" s="11" t="s">
        <v>14</v>
      </c>
      <c r="T4" s="78" t="s">
        <v>163</v>
      </c>
      <c r="U4" s="79"/>
    </row>
    <row r="5" spans="1:21" ht="15.75" customHeight="1" x14ac:dyDescent="0.2">
      <c r="B5" s="80" t="s">
        <v>15</v>
      </c>
      <c r="C5" s="81"/>
      <c r="D5" s="81"/>
      <c r="E5" s="81"/>
      <c r="F5" s="81"/>
      <c r="G5" s="81"/>
      <c r="H5" s="81"/>
      <c r="I5" s="81"/>
      <c r="J5" s="81"/>
      <c r="K5" s="81"/>
      <c r="L5" s="81"/>
      <c r="M5" s="81"/>
      <c r="N5" s="81"/>
      <c r="O5" s="81"/>
      <c r="P5" s="81"/>
      <c r="Q5" s="81"/>
      <c r="R5" s="81"/>
      <c r="S5" s="81"/>
      <c r="T5" s="81"/>
      <c r="U5" s="82"/>
    </row>
    <row r="6" spans="1:21" ht="63" customHeight="1" thickBot="1" x14ac:dyDescent="0.25">
      <c r="B6" s="13" t="s">
        <v>16</v>
      </c>
      <c r="C6" s="88" t="s">
        <v>17</v>
      </c>
      <c r="D6" s="88"/>
      <c r="E6" s="88"/>
      <c r="F6" s="88"/>
      <c r="G6" s="88"/>
      <c r="H6" s="14"/>
      <c r="I6" s="14"/>
      <c r="J6" s="14" t="s">
        <v>18</v>
      </c>
      <c r="K6" s="88" t="s">
        <v>19</v>
      </c>
      <c r="L6" s="88"/>
      <c r="M6" s="88"/>
      <c r="N6" s="15"/>
      <c r="O6" s="16" t="s">
        <v>20</v>
      </c>
      <c r="P6" s="88" t="s">
        <v>21</v>
      </c>
      <c r="Q6" s="88"/>
      <c r="R6" s="17"/>
      <c r="S6" s="16" t="s">
        <v>22</v>
      </c>
      <c r="T6" s="88" t="s">
        <v>164</v>
      </c>
      <c r="U6" s="89"/>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0" t="s">
        <v>25</v>
      </c>
      <c r="C8" s="63" t="s">
        <v>26</v>
      </c>
      <c r="D8" s="63"/>
      <c r="E8" s="63"/>
      <c r="F8" s="63"/>
      <c r="G8" s="63"/>
      <c r="H8" s="64"/>
      <c r="I8" s="69" t="s">
        <v>27</v>
      </c>
      <c r="J8" s="70"/>
      <c r="K8" s="70"/>
      <c r="L8" s="70"/>
      <c r="M8" s="70"/>
      <c r="N8" s="70"/>
      <c r="O8" s="70"/>
      <c r="P8" s="70"/>
      <c r="Q8" s="70"/>
      <c r="R8" s="70"/>
      <c r="S8" s="71"/>
      <c r="T8" s="72" t="s">
        <v>28</v>
      </c>
      <c r="U8" s="73"/>
    </row>
    <row r="9" spans="1:21" ht="19.5" customHeight="1" x14ac:dyDescent="0.2">
      <c r="B9" s="61"/>
      <c r="C9" s="65"/>
      <c r="D9" s="65"/>
      <c r="E9" s="65"/>
      <c r="F9" s="65"/>
      <c r="G9" s="65"/>
      <c r="H9" s="66"/>
      <c r="I9" s="74" t="s">
        <v>29</v>
      </c>
      <c r="J9" s="63"/>
      <c r="K9" s="63"/>
      <c r="L9" s="63" t="s">
        <v>30</v>
      </c>
      <c r="M9" s="63"/>
      <c r="N9" s="63"/>
      <c r="O9" s="63"/>
      <c r="P9" s="63" t="s">
        <v>31</v>
      </c>
      <c r="Q9" s="63" t="s">
        <v>32</v>
      </c>
      <c r="R9" s="83" t="s">
        <v>33</v>
      </c>
      <c r="S9" s="84"/>
      <c r="T9" s="63" t="s">
        <v>34</v>
      </c>
      <c r="U9" s="85" t="s">
        <v>35</v>
      </c>
    </row>
    <row r="10" spans="1:21" ht="26.25" customHeight="1" thickBot="1" x14ac:dyDescent="0.25">
      <c r="B10" s="62"/>
      <c r="C10" s="67"/>
      <c r="D10" s="67"/>
      <c r="E10" s="67"/>
      <c r="F10" s="67"/>
      <c r="G10" s="67"/>
      <c r="H10" s="68"/>
      <c r="I10" s="75"/>
      <c r="J10" s="76"/>
      <c r="K10" s="76"/>
      <c r="L10" s="76"/>
      <c r="M10" s="76"/>
      <c r="N10" s="76"/>
      <c r="O10" s="76"/>
      <c r="P10" s="76"/>
      <c r="Q10" s="76"/>
      <c r="R10" s="19" t="s">
        <v>36</v>
      </c>
      <c r="S10" s="20" t="s">
        <v>37</v>
      </c>
      <c r="T10" s="76"/>
      <c r="U10" s="86"/>
    </row>
    <row r="11" spans="1:21" ht="78.75" customHeight="1" thickTop="1" x14ac:dyDescent="0.2">
      <c r="A11" s="21"/>
      <c r="B11" s="22" t="s">
        <v>38</v>
      </c>
      <c r="C11" s="87" t="s">
        <v>218</v>
      </c>
      <c r="D11" s="87"/>
      <c r="E11" s="87"/>
      <c r="F11" s="87"/>
      <c r="G11" s="87"/>
      <c r="H11" s="87"/>
      <c r="I11" s="87" t="s">
        <v>219</v>
      </c>
      <c r="J11" s="87"/>
      <c r="K11" s="87"/>
      <c r="L11" s="87" t="s">
        <v>220</v>
      </c>
      <c r="M11" s="87"/>
      <c r="N11" s="87"/>
      <c r="O11" s="87"/>
      <c r="P11" s="23" t="s">
        <v>221</v>
      </c>
      <c r="Q11" s="23" t="s">
        <v>222</v>
      </c>
      <c r="R11" s="26">
        <v>80000</v>
      </c>
      <c r="S11" s="26">
        <v>80000</v>
      </c>
      <c r="T11" s="26">
        <v>79225</v>
      </c>
      <c r="U11" s="45">
        <f>99</f>
        <v>99</v>
      </c>
    </row>
    <row r="12" spans="1:21" ht="75" customHeight="1" thickBot="1" x14ac:dyDescent="0.25">
      <c r="A12" s="21"/>
      <c r="B12" s="24" t="s">
        <v>44</v>
      </c>
      <c r="C12" s="90" t="s">
        <v>44</v>
      </c>
      <c r="D12" s="90"/>
      <c r="E12" s="90"/>
      <c r="F12" s="90"/>
      <c r="G12" s="90"/>
      <c r="H12" s="90"/>
      <c r="I12" s="90" t="s">
        <v>223</v>
      </c>
      <c r="J12" s="90"/>
      <c r="K12" s="90"/>
      <c r="L12" s="90" t="s">
        <v>224</v>
      </c>
      <c r="M12" s="90"/>
      <c r="N12" s="90"/>
      <c r="O12" s="90"/>
      <c r="P12" s="25" t="s">
        <v>225</v>
      </c>
      <c r="Q12" s="25" t="s">
        <v>168</v>
      </c>
      <c r="R12" s="27" t="s">
        <v>70</v>
      </c>
      <c r="S12" s="27" t="s">
        <v>70</v>
      </c>
      <c r="T12" s="27">
        <v>0</v>
      </c>
      <c r="U12" s="46">
        <f>0</f>
        <v>0</v>
      </c>
    </row>
    <row r="13" spans="1:21" ht="117" customHeight="1" thickTop="1" x14ac:dyDescent="0.2">
      <c r="A13" s="21"/>
      <c r="B13" s="22" t="s">
        <v>47</v>
      </c>
      <c r="C13" s="87" t="s">
        <v>226</v>
      </c>
      <c r="D13" s="87"/>
      <c r="E13" s="87"/>
      <c r="F13" s="87"/>
      <c r="G13" s="87"/>
      <c r="H13" s="87"/>
      <c r="I13" s="87" t="s">
        <v>227</v>
      </c>
      <c r="J13" s="87"/>
      <c r="K13" s="87"/>
      <c r="L13" s="87" t="s">
        <v>228</v>
      </c>
      <c r="M13" s="87"/>
      <c r="N13" s="87"/>
      <c r="O13" s="87"/>
      <c r="P13" s="23" t="s">
        <v>42</v>
      </c>
      <c r="Q13" s="23" t="s">
        <v>43</v>
      </c>
      <c r="R13" s="23" t="s">
        <v>70</v>
      </c>
      <c r="S13" s="23">
        <v>100</v>
      </c>
      <c r="T13" s="23">
        <v>93</v>
      </c>
      <c r="U13" s="45">
        <f>93</f>
        <v>93</v>
      </c>
    </row>
    <row r="14" spans="1:21" ht="75" customHeight="1" thickBot="1" x14ac:dyDescent="0.25">
      <c r="A14" s="21"/>
      <c r="B14" s="24" t="s">
        <v>44</v>
      </c>
      <c r="C14" s="90" t="s">
        <v>44</v>
      </c>
      <c r="D14" s="90"/>
      <c r="E14" s="90"/>
      <c r="F14" s="90"/>
      <c r="G14" s="90"/>
      <c r="H14" s="90"/>
      <c r="I14" s="90" t="s">
        <v>229</v>
      </c>
      <c r="J14" s="90"/>
      <c r="K14" s="90"/>
      <c r="L14" s="90" t="s">
        <v>230</v>
      </c>
      <c r="M14" s="90"/>
      <c r="N14" s="90"/>
      <c r="O14" s="90"/>
      <c r="P14" s="25" t="s">
        <v>42</v>
      </c>
      <c r="Q14" s="25" t="s">
        <v>43</v>
      </c>
      <c r="R14" s="25" t="s">
        <v>70</v>
      </c>
      <c r="S14" s="25">
        <v>100</v>
      </c>
      <c r="T14" s="25">
        <v>128</v>
      </c>
      <c r="U14" s="46">
        <f>128</f>
        <v>128</v>
      </c>
    </row>
    <row r="15" spans="1:21" ht="75" customHeight="1" thickTop="1" thickBot="1" x14ac:dyDescent="0.25">
      <c r="A15" s="21"/>
      <c r="B15" s="22" t="s">
        <v>53</v>
      </c>
      <c r="C15" s="87" t="s">
        <v>231</v>
      </c>
      <c r="D15" s="87"/>
      <c r="E15" s="87"/>
      <c r="F15" s="87"/>
      <c r="G15" s="87"/>
      <c r="H15" s="87"/>
      <c r="I15" s="87" t="s">
        <v>232</v>
      </c>
      <c r="J15" s="87"/>
      <c r="K15" s="87"/>
      <c r="L15" s="87" t="s">
        <v>233</v>
      </c>
      <c r="M15" s="87"/>
      <c r="N15" s="87"/>
      <c r="O15" s="87"/>
      <c r="P15" s="23" t="s">
        <v>42</v>
      </c>
      <c r="Q15" s="23" t="s">
        <v>88</v>
      </c>
      <c r="R15" s="23">
        <v>200000</v>
      </c>
      <c r="S15" s="23">
        <v>100</v>
      </c>
      <c r="T15" s="23">
        <v>170.43</v>
      </c>
      <c r="U15" s="45">
        <f>170.4</f>
        <v>170.4</v>
      </c>
    </row>
    <row r="16" spans="1:21" ht="75" customHeight="1" thickTop="1" x14ac:dyDescent="0.2">
      <c r="A16" s="21"/>
      <c r="B16" s="22" t="s">
        <v>64</v>
      </c>
      <c r="C16" s="87" t="s">
        <v>234</v>
      </c>
      <c r="D16" s="87"/>
      <c r="E16" s="87"/>
      <c r="F16" s="87"/>
      <c r="G16" s="87"/>
      <c r="H16" s="87"/>
      <c r="I16" s="87" t="s">
        <v>235</v>
      </c>
      <c r="J16" s="87"/>
      <c r="K16" s="87"/>
      <c r="L16" s="87" t="s">
        <v>236</v>
      </c>
      <c r="M16" s="87"/>
      <c r="N16" s="87"/>
      <c r="O16" s="87"/>
      <c r="P16" s="23" t="s">
        <v>42</v>
      </c>
      <c r="Q16" s="23" t="s">
        <v>84</v>
      </c>
      <c r="R16" s="23" t="s">
        <v>70</v>
      </c>
      <c r="S16" s="23">
        <v>100</v>
      </c>
      <c r="T16" s="23">
        <v>116</v>
      </c>
      <c r="U16" s="45">
        <f>116</f>
        <v>116</v>
      </c>
    </row>
    <row r="17" spans="1:22" ht="75" customHeight="1" x14ac:dyDescent="0.2">
      <c r="A17" s="21"/>
      <c r="B17" s="24" t="s">
        <v>44</v>
      </c>
      <c r="C17" s="90" t="s">
        <v>237</v>
      </c>
      <c r="D17" s="90"/>
      <c r="E17" s="90"/>
      <c r="F17" s="90"/>
      <c r="G17" s="90"/>
      <c r="H17" s="90"/>
      <c r="I17" s="90" t="s">
        <v>238</v>
      </c>
      <c r="J17" s="90"/>
      <c r="K17" s="90"/>
      <c r="L17" s="90" t="s">
        <v>239</v>
      </c>
      <c r="M17" s="90"/>
      <c r="N17" s="90"/>
      <c r="O17" s="90"/>
      <c r="P17" s="25" t="s">
        <v>42</v>
      </c>
      <c r="Q17" s="25" t="s">
        <v>240</v>
      </c>
      <c r="R17" s="25">
        <v>100</v>
      </c>
      <c r="S17" s="25">
        <v>100</v>
      </c>
      <c r="T17" s="25">
        <v>97.71</v>
      </c>
      <c r="U17" s="46">
        <f>100</f>
        <v>100</v>
      </c>
    </row>
    <row r="18" spans="1:22" ht="75" customHeight="1" x14ac:dyDescent="0.2">
      <c r="A18" s="21"/>
      <c r="B18" s="24" t="s">
        <v>44</v>
      </c>
      <c r="C18" s="90" t="s">
        <v>241</v>
      </c>
      <c r="D18" s="90"/>
      <c r="E18" s="90"/>
      <c r="F18" s="90"/>
      <c r="G18" s="90"/>
      <c r="H18" s="90"/>
      <c r="I18" s="90" t="s">
        <v>242</v>
      </c>
      <c r="J18" s="90"/>
      <c r="K18" s="90"/>
      <c r="L18" s="90" t="s">
        <v>243</v>
      </c>
      <c r="M18" s="90"/>
      <c r="N18" s="90"/>
      <c r="O18" s="90"/>
      <c r="P18" s="25" t="s">
        <v>244</v>
      </c>
      <c r="Q18" s="25" t="s">
        <v>84</v>
      </c>
      <c r="R18" s="25">
        <v>100</v>
      </c>
      <c r="S18" s="25">
        <v>100</v>
      </c>
      <c r="T18" s="25">
        <v>182</v>
      </c>
      <c r="U18" s="46">
        <f>181</f>
        <v>181</v>
      </c>
    </row>
    <row r="19" spans="1:22" ht="75" customHeight="1" thickBot="1" x14ac:dyDescent="0.25">
      <c r="A19" s="21"/>
      <c r="B19" s="24" t="s">
        <v>44</v>
      </c>
      <c r="C19" s="90" t="s">
        <v>245</v>
      </c>
      <c r="D19" s="90"/>
      <c r="E19" s="90"/>
      <c r="F19" s="90"/>
      <c r="G19" s="90"/>
      <c r="H19" s="90"/>
      <c r="I19" s="90" t="s">
        <v>246</v>
      </c>
      <c r="J19" s="90"/>
      <c r="K19" s="90"/>
      <c r="L19" s="90" t="s">
        <v>247</v>
      </c>
      <c r="M19" s="90"/>
      <c r="N19" s="90"/>
      <c r="O19" s="90"/>
      <c r="P19" s="25" t="s">
        <v>73</v>
      </c>
      <c r="Q19" s="25" t="s">
        <v>88</v>
      </c>
      <c r="R19" s="25">
        <v>32</v>
      </c>
      <c r="S19" s="25">
        <v>32</v>
      </c>
      <c r="T19" s="25">
        <v>14</v>
      </c>
      <c r="U19" s="46">
        <f>196</f>
        <v>196</v>
      </c>
    </row>
    <row r="20" spans="1:22" ht="14.25" customHeight="1" thickTop="1" thickBot="1" x14ac:dyDescent="0.25">
      <c r="B20" s="4" t="s">
        <v>124</v>
      </c>
      <c r="C20" s="5"/>
      <c r="D20" s="5"/>
      <c r="E20" s="5"/>
      <c r="F20" s="5"/>
      <c r="G20" s="5"/>
      <c r="H20" s="6"/>
      <c r="I20" s="6"/>
      <c r="J20" s="6"/>
      <c r="K20" s="6"/>
      <c r="L20" s="6"/>
      <c r="M20" s="6"/>
      <c r="N20" s="6"/>
      <c r="O20" s="6"/>
      <c r="P20" s="6"/>
      <c r="Q20" s="6"/>
      <c r="R20" s="6"/>
      <c r="S20" s="6"/>
      <c r="T20" s="6"/>
      <c r="U20" s="47"/>
      <c r="V20" s="28"/>
    </row>
    <row r="21" spans="1:22" ht="26.25" customHeight="1" thickTop="1" x14ac:dyDescent="0.2">
      <c r="B21" s="29"/>
      <c r="C21" s="30"/>
      <c r="D21" s="30"/>
      <c r="E21" s="30"/>
      <c r="F21" s="30"/>
      <c r="G21" s="30"/>
      <c r="H21" s="31"/>
      <c r="I21" s="31"/>
      <c r="J21" s="31"/>
      <c r="K21" s="31"/>
      <c r="L21" s="31"/>
      <c r="M21" s="31"/>
      <c r="N21" s="31"/>
      <c r="O21" s="31"/>
      <c r="P21" s="31"/>
      <c r="Q21" s="31"/>
      <c r="R21" s="32"/>
      <c r="S21" s="33" t="s">
        <v>33</v>
      </c>
      <c r="T21" s="33" t="s">
        <v>125</v>
      </c>
      <c r="U21" s="48" t="s">
        <v>126</v>
      </c>
    </row>
    <row r="22" spans="1:22" ht="26.25" customHeight="1" thickBot="1" x14ac:dyDescent="0.25">
      <c r="B22" s="34"/>
      <c r="C22" s="35"/>
      <c r="D22" s="35"/>
      <c r="E22" s="35"/>
      <c r="F22" s="35"/>
      <c r="G22" s="35"/>
      <c r="H22" s="36"/>
      <c r="I22" s="36"/>
      <c r="J22" s="36"/>
      <c r="K22" s="36"/>
      <c r="L22" s="36"/>
      <c r="M22" s="36"/>
      <c r="N22" s="36"/>
      <c r="O22" s="36"/>
      <c r="P22" s="36"/>
      <c r="Q22" s="36"/>
      <c r="R22" s="36"/>
      <c r="S22" s="37" t="s">
        <v>127</v>
      </c>
      <c r="T22" s="38" t="s">
        <v>127</v>
      </c>
      <c r="U22" s="49" t="s">
        <v>128</v>
      </c>
    </row>
    <row r="23" spans="1:22" ht="13.5" customHeight="1" thickBot="1" x14ac:dyDescent="0.25">
      <c r="B23" s="91" t="s">
        <v>129</v>
      </c>
      <c r="C23" s="92"/>
      <c r="D23" s="92"/>
      <c r="E23" s="39"/>
      <c r="F23" s="39"/>
      <c r="G23" s="39"/>
      <c r="H23" s="40"/>
      <c r="I23" s="40"/>
      <c r="J23" s="40"/>
      <c r="K23" s="40"/>
      <c r="L23" s="40"/>
      <c r="M23" s="40"/>
      <c r="N23" s="40"/>
      <c r="O23" s="40"/>
      <c r="P23" s="41"/>
      <c r="Q23" s="41"/>
      <c r="R23" s="41"/>
      <c r="S23" s="52">
        <v>7291.3894540000001</v>
      </c>
      <c r="T23" s="52">
        <v>7113.9559244499997</v>
      </c>
      <c r="U23" s="53">
        <f>+IF(ISERR(T23/S23*100),"N/A",ROUND(T23/S23*100,1))</f>
        <v>97.6</v>
      </c>
    </row>
    <row r="24" spans="1:22" ht="13.5" customHeight="1" thickBot="1" x14ac:dyDescent="0.25">
      <c r="B24" s="93" t="s">
        <v>130</v>
      </c>
      <c r="C24" s="94"/>
      <c r="D24" s="94"/>
      <c r="E24" s="42"/>
      <c r="F24" s="42"/>
      <c r="G24" s="42"/>
      <c r="H24" s="43"/>
      <c r="I24" s="43"/>
      <c r="J24" s="43"/>
      <c r="K24" s="43"/>
      <c r="L24" s="43"/>
      <c r="M24" s="43"/>
      <c r="N24" s="43"/>
      <c r="O24" s="43"/>
      <c r="P24" s="44"/>
      <c r="Q24" s="44"/>
      <c r="R24" s="44"/>
      <c r="S24" s="52">
        <v>7113.9559244499997</v>
      </c>
      <c r="T24" s="52">
        <v>7113.9559244499997</v>
      </c>
      <c r="U24" s="53">
        <f>+IF(ISERR(T24/S24*100),"N/A",ROUND(T24/S24*100,1))</f>
        <v>100</v>
      </c>
    </row>
    <row r="25" spans="1:22" ht="14.85" customHeight="1" thickTop="1" thickBot="1" x14ac:dyDescent="0.25">
      <c r="B25" s="4" t="s">
        <v>131</v>
      </c>
      <c r="C25" s="5"/>
      <c r="D25" s="5"/>
      <c r="E25" s="5"/>
      <c r="F25" s="5"/>
      <c r="G25" s="5"/>
      <c r="H25" s="6"/>
      <c r="I25" s="6"/>
      <c r="J25" s="6"/>
      <c r="K25" s="6"/>
      <c r="L25" s="6"/>
      <c r="M25" s="6"/>
      <c r="N25" s="6"/>
      <c r="O25" s="6"/>
      <c r="P25" s="6"/>
      <c r="Q25" s="6"/>
      <c r="R25" s="6"/>
      <c r="S25" s="6"/>
      <c r="T25" s="6"/>
      <c r="U25" s="47"/>
    </row>
    <row r="26" spans="1:22" ht="44.25" customHeight="1" thickTop="1" x14ac:dyDescent="0.2">
      <c r="B26" s="95" t="s">
        <v>132</v>
      </c>
      <c r="C26" s="96"/>
      <c r="D26" s="96"/>
      <c r="E26" s="96"/>
      <c r="F26" s="96"/>
      <c r="G26" s="96"/>
      <c r="H26" s="96"/>
      <c r="I26" s="96"/>
      <c r="J26" s="96"/>
      <c r="K26" s="96"/>
      <c r="L26" s="96"/>
      <c r="M26" s="96"/>
      <c r="N26" s="96"/>
      <c r="O26" s="96"/>
      <c r="P26" s="96"/>
      <c r="Q26" s="96"/>
      <c r="R26" s="96"/>
      <c r="S26" s="96"/>
      <c r="T26" s="96"/>
      <c r="U26" s="104"/>
    </row>
    <row r="27" spans="1:22" ht="163.5" customHeight="1" x14ac:dyDescent="0.2">
      <c r="B27" s="98" t="s">
        <v>248</v>
      </c>
      <c r="C27" s="99"/>
      <c r="D27" s="99"/>
      <c r="E27" s="99"/>
      <c r="F27" s="99"/>
      <c r="G27" s="99"/>
      <c r="H27" s="99"/>
      <c r="I27" s="99"/>
      <c r="J27" s="99"/>
      <c r="K27" s="99"/>
      <c r="L27" s="99"/>
      <c r="M27" s="99"/>
      <c r="N27" s="99"/>
      <c r="O27" s="99"/>
      <c r="P27" s="99"/>
      <c r="Q27" s="99"/>
      <c r="R27" s="99"/>
      <c r="S27" s="99"/>
      <c r="T27" s="99"/>
      <c r="U27" s="105"/>
    </row>
    <row r="28" spans="1:22" ht="63.75" customHeight="1" x14ac:dyDescent="0.2">
      <c r="B28" s="98" t="s">
        <v>249</v>
      </c>
      <c r="C28" s="99"/>
      <c r="D28" s="99"/>
      <c r="E28" s="99"/>
      <c r="F28" s="99"/>
      <c r="G28" s="99"/>
      <c r="H28" s="99"/>
      <c r="I28" s="99"/>
      <c r="J28" s="99"/>
      <c r="K28" s="99"/>
      <c r="L28" s="99"/>
      <c r="M28" s="99"/>
      <c r="N28" s="99"/>
      <c r="O28" s="99"/>
      <c r="P28" s="99"/>
      <c r="Q28" s="99"/>
      <c r="R28" s="99"/>
      <c r="S28" s="99"/>
      <c r="T28" s="99"/>
      <c r="U28" s="105"/>
    </row>
    <row r="29" spans="1:22" ht="69" customHeight="1" x14ac:dyDescent="0.2">
      <c r="B29" s="98" t="s">
        <v>250</v>
      </c>
      <c r="C29" s="99"/>
      <c r="D29" s="99"/>
      <c r="E29" s="99"/>
      <c r="F29" s="99"/>
      <c r="G29" s="99"/>
      <c r="H29" s="99"/>
      <c r="I29" s="99"/>
      <c r="J29" s="99"/>
      <c r="K29" s="99"/>
      <c r="L29" s="99"/>
      <c r="M29" s="99"/>
      <c r="N29" s="99"/>
      <c r="O29" s="99"/>
      <c r="P29" s="99"/>
      <c r="Q29" s="99"/>
      <c r="R29" s="99"/>
      <c r="S29" s="99"/>
      <c r="T29" s="99"/>
      <c r="U29" s="105"/>
    </row>
    <row r="30" spans="1:22" ht="102" customHeight="1" x14ac:dyDescent="0.2">
      <c r="B30" s="98" t="s">
        <v>251</v>
      </c>
      <c r="C30" s="99"/>
      <c r="D30" s="99"/>
      <c r="E30" s="99"/>
      <c r="F30" s="99"/>
      <c r="G30" s="99"/>
      <c r="H30" s="99"/>
      <c r="I30" s="99"/>
      <c r="J30" s="99"/>
      <c r="K30" s="99"/>
      <c r="L30" s="99"/>
      <c r="M30" s="99"/>
      <c r="N30" s="99"/>
      <c r="O30" s="99"/>
      <c r="P30" s="99"/>
      <c r="Q30" s="99"/>
      <c r="R30" s="99"/>
      <c r="S30" s="99"/>
      <c r="T30" s="99"/>
      <c r="U30" s="105"/>
    </row>
    <row r="31" spans="1:22" ht="61.5" customHeight="1" x14ac:dyDescent="0.2">
      <c r="B31" s="98" t="s">
        <v>252</v>
      </c>
      <c r="C31" s="99"/>
      <c r="D31" s="99"/>
      <c r="E31" s="99"/>
      <c r="F31" s="99"/>
      <c r="G31" s="99"/>
      <c r="H31" s="99"/>
      <c r="I31" s="99"/>
      <c r="J31" s="99"/>
      <c r="K31" s="99"/>
      <c r="L31" s="99"/>
      <c r="M31" s="99"/>
      <c r="N31" s="99"/>
      <c r="O31" s="99"/>
      <c r="P31" s="99"/>
      <c r="Q31" s="99"/>
      <c r="R31" s="99"/>
      <c r="S31" s="99"/>
      <c r="T31" s="99"/>
      <c r="U31" s="105"/>
    </row>
    <row r="32" spans="1:22" ht="42" customHeight="1" x14ac:dyDescent="0.2">
      <c r="B32" s="98" t="s">
        <v>253</v>
      </c>
      <c r="C32" s="99"/>
      <c r="D32" s="99"/>
      <c r="E32" s="99"/>
      <c r="F32" s="99"/>
      <c r="G32" s="99"/>
      <c r="H32" s="99"/>
      <c r="I32" s="99"/>
      <c r="J32" s="99"/>
      <c r="K32" s="99"/>
      <c r="L32" s="99"/>
      <c r="M32" s="99"/>
      <c r="N32" s="99"/>
      <c r="O32" s="99"/>
      <c r="P32" s="99"/>
      <c r="Q32" s="99"/>
      <c r="R32" s="99"/>
      <c r="S32" s="99"/>
      <c r="T32" s="99"/>
      <c r="U32" s="105"/>
    </row>
    <row r="33" spans="2:21" ht="59.25" customHeight="1" x14ac:dyDescent="0.2">
      <c r="B33" s="98" t="s">
        <v>254</v>
      </c>
      <c r="C33" s="99"/>
      <c r="D33" s="99"/>
      <c r="E33" s="99"/>
      <c r="F33" s="99"/>
      <c r="G33" s="99"/>
      <c r="H33" s="99"/>
      <c r="I33" s="99"/>
      <c r="J33" s="99"/>
      <c r="K33" s="99"/>
      <c r="L33" s="99"/>
      <c r="M33" s="99"/>
      <c r="N33" s="99"/>
      <c r="O33" s="99"/>
      <c r="P33" s="99"/>
      <c r="Q33" s="99"/>
      <c r="R33" s="99"/>
      <c r="S33" s="99"/>
      <c r="T33" s="99"/>
      <c r="U33" s="105"/>
    </row>
    <row r="34" spans="2:21" ht="62.25" customHeight="1" thickBot="1" x14ac:dyDescent="0.25">
      <c r="B34" s="101" t="s">
        <v>255</v>
      </c>
      <c r="C34" s="102"/>
      <c r="D34" s="102"/>
      <c r="E34" s="102"/>
      <c r="F34" s="102"/>
      <c r="G34" s="102"/>
      <c r="H34" s="102"/>
      <c r="I34" s="102"/>
      <c r="J34" s="102"/>
      <c r="K34" s="102"/>
      <c r="L34" s="102"/>
      <c r="M34" s="102"/>
      <c r="N34" s="102"/>
      <c r="O34" s="102"/>
      <c r="P34" s="102"/>
      <c r="Q34" s="102"/>
      <c r="R34" s="102"/>
      <c r="S34" s="102"/>
      <c r="T34" s="102"/>
      <c r="U34" s="106"/>
    </row>
    <row r="35" spans="2:21" x14ac:dyDescent="0.2">
      <c r="U35" s="50"/>
    </row>
    <row r="36" spans="2:21" x14ac:dyDescent="0.2">
      <c r="U36" s="50"/>
    </row>
  </sheetData>
  <mergeCells count="59">
    <mergeCell ref="B34:U34"/>
    <mergeCell ref="B23:D23"/>
    <mergeCell ref="B24:D24"/>
    <mergeCell ref="B26:U26"/>
    <mergeCell ref="B27:U27"/>
    <mergeCell ref="B28:U28"/>
    <mergeCell ref="B29:U29"/>
    <mergeCell ref="B30:U30"/>
    <mergeCell ref="B31:U31"/>
    <mergeCell ref="B32:U32"/>
    <mergeCell ref="B33:U33"/>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7"/>
  <sheetViews>
    <sheetView view="pageBreakPreview" zoomScale="80" zoomScaleNormal="80" zoomScaleSheetLayoutView="80" workbookViewId="0">
      <selection activeCell="R13" sqref="R13"/>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6" t="s">
        <v>0</v>
      </c>
      <c r="C1" s="56"/>
      <c r="D1" s="56"/>
      <c r="E1" s="56"/>
      <c r="F1" s="56"/>
      <c r="G1" s="56"/>
      <c r="H1" s="56"/>
      <c r="I1" s="56"/>
      <c r="J1" s="56"/>
      <c r="K1" s="56"/>
      <c r="L1" s="56"/>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60" customHeight="1" thickTop="1" x14ac:dyDescent="0.2">
      <c r="B4" s="8" t="s">
        <v>6</v>
      </c>
      <c r="C4" s="9" t="s">
        <v>256</v>
      </c>
      <c r="D4" s="77" t="s">
        <v>257</v>
      </c>
      <c r="E4" s="77"/>
      <c r="F4" s="77"/>
      <c r="G4" s="77"/>
      <c r="H4" s="77"/>
      <c r="I4" s="10"/>
      <c r="J4" s="11" t="s">
        <v>9</v>
      </c>
      <c r="K4" s="12" t="s">
        <v>10</v>
      </c>
      <c r="L4" s="78" t="s">
        <v>11</v>
      </c>
      <c r="M4" s="78"/>
      <c r="N4" s="78"/>
      <c r="O4" s="78"/>
      <c r="P4" s="11" t="s">
        <v>12</v>
      </c>
      <c r="Q4" s="78" t="s">
        <v>162</v>
      </c>
      <c r="R4" s="78"/>
      <c r="S4" s="11" t="s">
        <v>14</v>
      </c>
      <c r="T4" s="78" t="s">
        <v>163</v>
      </c>
      <c r="U4" s="79"/>
    </row>
    <row r="5" spans="1:21" ht="15.75" customHeight="1" x14ac:dyDescent="0.2">
      <c r="B5" s="80" t="s">
        <v>15</v>
      </c>
      <c r="C5" s="81"/>
      <c r="D5" s="81"/>
      <c r="E5" s="81"/>
      <c r="F5" s="81"/>
      <c r="G5" s="81"/>
      <c r="H5" s="81"/>
      <c r="I5" s="81"/>
      <c r="J5" s="81"/>
      <c r="K5" s="81"/>
      <c r="L5" s="81"/>
      <c r="M5" s="81"/>
      <c r="N5" s="81"/>
      <c r="O5" s="81"/>
      <c r="P5" s="81"/>
      <c r="Q5" s="81"/>
      <c r="R5" s="81"/>
      <c r="S5" s="81"/>
      <c r="T5" s="81"/>
      <c r="U5" s="82"/>
    </row>
    <row r="6" spans="1:21" ht="60.75" customHeight="1" thickBot="1" x14ac:dyDescent="0.25">
      <c r="B6" s="13" t="s">
        <v>16</v>
      </c>
      <c r="C6" s="88" t="s">
        <v>17</v>
      </c>
      <c r="D6" s="88"/>
      <c r="E6" s="88"/>
      <c r="F6" s="88"/>
      <c r="G6" s="88"/>
      <c r="H6" s="14"/>
      <c r="I6" s="14"/>
      <c r="J6" s="14" t="s">
        <v>18</v>
      </c>
      <c r="K6" s="88" t="s">
        <v>19</v>
      </c>
      <c r="L6" s="88"/>
      <c r="M6" s="88"/>
      <c r="N6" s="15"/>
      <c r="O6" s="16" t="s">
        <v>20</v>
      </c>
      <c r="P6" s="88" t="s">
        <v>21</v>
      </c>
      <c r="Q6" s="88"/>
      <c r="R6" s="17"/>
      <c r="S6" s="16" t="s">
        <v>22</v>
      </c>
      <c r="T6" s="88" t="s">
        <v>164</v>
      </c>
      <c r="U6" s="89"/>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0" t="s">
        <v>25</v>
      </c>
      <c r="C8" s="63" t="s">
        <v>26</v>
      </c>
      <c r="D8" s="63"/>
      <c r="E8" s="63"/>
      <c r="F8" s="63"/>
      <c r="G8" s="63"/>
      <c r="H8" s="64"/>
      <c r="I8" s="69" t="s">
        <v>27</v>
      </c>
      <c r="J8" s="70"/>
      <c r="K8" s="70"/>
      <c r="L8" s="70"/>
      <c r="M8" s="70"/>
      <c r="N8" s="70"/>
      <c r="O8" s="70"/>
      <c r="P8" s="70"/>
      <c r="Q8" s="70"/>
      <c r="R8" s="70"/>
      <c r="S8" s="71"/>
      <c r="T8" s="72" t="s">
        <v>28</v>
      </c>
      <c r="U8" s="73"/>
    </row>
    <row r="9" spans="1:21" ht="19.5" customHeight="1" x14ac:dyDescent="0.2">
      <c r="B9" s="61"/>
      <c r="C9" s="65"/>
      <c r="D9" s="65"/>
      <c r="E9" s="65"/>
      <c r="F9" s="65"/>
      <c r="G9" s="65"/>
      <c r="H9" s="66"/>
      <c r="I9" s="74" t="s">
        <v>29</v>
      </c>
      <c r="J9" s="63"/>
      <c r="K9" s="63"/>
      <c r="L9" s="63" t="s">
        <v>30</v>
      </c>
      <c r="M9" s="63"/>
      <c r="N9" s="63"/>
      <c r="O9" s="63"/>
      <c r="P9" s="63" t="s">
        <v>31</v>
      </c>
      <c r="Q9" s="63" t="s">
        <v>32</v>
      </c>
      <c r="R9" s="83" t="s">
        <v>33</v>
      </c>
      <c r="S9" s="84"/>
      <c r="T9" s="63" t="s">
        <v>34</v>
      </c>
      <c r="U9" s="85" t="s">
        <v>35</v>
      </c>
    </row>
    <row r="10" spans="1:21" ht="26.25" customHeight="1" thickBot="1" x14ac:dyDescent="0.25">
      <c r="B10" s="62"/>
      <c r="C10" s="67"/>
      <c r="D10" s="67"/>
      <c r="E10" s="67"/>
      <c r="F10" s="67"/>
      <c r="G10" s="67"/>
      <c r="H10" s="68"/>
      <c r="I10" s="75"/>
      <c r="J10" s="76"/>
      <c r="K10" s="76"/>
      <c r="L10" s="76"/>
      <c r="M10" s="76"/>
      <c r="N10" s="76"/>
      <c r="O10" s="76"/>
      <c r="P10" s="76"/>
      <c r="Q10" s="76"/>
      <c r="R10" s="19" t="s">
        <v>36</v>
      </c>
      <c r="S10" s="20" t="s">
        <v>37</v>
      </c>
      <c r="T10" s="76"/>
      <c r="U10" s="86"/>
    </row>
    <row r="11" spans="1:21" ht="111" customHeight="1" thickTop="1" thickBot="1" x14ac:dyDescent="0.25">
      <c r="A11" s="21"/>
      <c r="B11" s="22" t="s">
        <v>38</v>
      </c>
      <c r="C11" s="87" t="s">
        <v>258</v>
      </c>
      <c r="D11" s="87"/>
      <c r="E11" s="87"/>
      <c r="F11" s="87"/>
      <c r="G11" s="87"/>
      <c r="H11" s="87"/>
      <c r="I11" s="87" t="s">
        <v>259</v>
      </c>
      <c r="J11" s="87"/>
      <c r="K11" s="87"/>
      <c r="L11" s="87" t="s">
        <v>260</v>
      </c>
      <c r="M11" s="87"/>
      <c r="N11" s="87"/>
      <c r="O11" s="87"/>
      <c r="P11" s="23" t="s">
        <v>42</v>
      </c>
      <c r="Q11" s="23" t="s">
        <v>168</v>
      </c>
      <c r="R11" s="23">
        <v>93.8</v>
      </c>
      <c r="S11" s="23">
        <v>93.8</v>
      </c>
      <c r="T11" s="23">
        <v>90.48</v>
      </c>
      <c r="U11" s="45">
        <f>96.5</f>
        <v>96.5</v>
      </c>
    </row>
    <row r="12" spans="1:21" ht="113.25" customHeight="1" thickTop="1" thickBot="1" x14ac:dyDescent="0.25">
      <c r="A12" s="21"/>
      <c r="B12" s="22" t="s">
        <v>47</v>
      </c>
      <c r="C12" s="87" t="s">
        <v>261</v>
      </c>
      <c r="D12" s="87"/>
      <c r="E12" s="87"/>
      <c r="F12" s="87"/>
      <c r="G12" s="87"/>
      <c r="H12" s="87"/>
      <c r="I12" s="87" t="s">
        <v>262</v>
      </c>
      <c r="J12" s="87"/>
      <c r="K12" s="87"/>
      <c r="L12" s="87" t="s">
        <v>263</v>
      </c>
      <c r="M12" s="87"/>
      <c r="N12" s="87"/>
      <c r="O12" s="87"/>
      <c r="P12" s="23" t="s">
        <v>42</v>
      </c>
      <c r="Q12" s="23" t="s">
        <v>168</v>
      </c>
      <c r="R12" s="23">
        <v>24.4</v>
      </c>
      <c r="S12" s="23">
        <v>24.4</v>
      </c>
      <c r="T12" s="23">
        <v>14.4</v>
      </c>
      <c r="U12" s="45">
        <f>58.9</f>
        <v>58.9</v>
      </c>
    </row>
    <row r="13" spans="1:21" ht="75" customHeight="1" thickTop="1" x14ac:dyDescent="0.2">
      <c r="A13" s="21"/>
      <c r="B13" s="22" t="s">
        <v>53</v>
      </c>
      <c r="C13" s="87" t="s">
        <v>264</v>
      </c>
      <c r="D13" s="87"/>
      <c r="E13" s="87"/>
      <c r="F13" s="87"/>
      <c r="G13" s="87"/>
      <c r="H13" s="87"/>
      <c r="I13" s="87" t="s">
        <v>265</v>
      </c>
      <c r="J13" s="87"/>
      <c r="K13" s="87"/>
      <c r="L13" s="87" t="s">
        <v>266</v>
      </c>
      <c r="M13" s="87"/>
      <c r="N13" s="87"/>
      <c r="O13" s="87"/>
      <c r="P13" s="23" t="s">
        <v>180</v>
      </c>
      <c r="Q13" s="23" t="s">
        <v>77</v>
      </c>
      <c r="R13" s="23">
        <v>6600</v>
      </c>
      <c r="S13" s="23">
        <v>6600</v>
      </c>
      <c r="T13" s="23">
        <v>6174</v>
      </c>
      <c r="U13" s="45">
        <f>93.5</f>
        <v>93.5</v>
      </c>
    </row>
    <row r="14" spans="1:21" ht="75" customHeight="1" x14ac:dyDescent="0.2">
      <c r="A14" s="21"/>
      <c r="B14" s="24" t="s">
        <v>44</v>
      </c>
      <c r="C14" s="90" t="s">
        <v>44</v>
      </c>
      <c r="D14" s="90"/>
      <c r="E14" s="90"/>
      <c r="F14" s="90"/>
      <c r="G14" s="90"/>
      <c r="H14" s="90"/>
      <c r="I14" s="90" t="s">
        <v>267</v>
      </c>
      <c r="J14" s="90"/>
      <c r="K14" s="90"/>
      <c r="L14" s="90" t="s">
        <v>174</v>
      </c>
      <c r="M14" s="90"/>
      <c r="N14" s="90"/>
      <c r="O14" s="90"/>
      <c r="P14" s="25" t="s">
        <v>42</v>
      </c>
      <c r="Q14" s="25" t="s">
        <v>88</v>
      </c>
      <c r="R14" s="25">
        <v>96.4</v>
      </c>
      <c r="S14" s="25">
        <v>96.4</v>
      </c>
      <c r="T14" s="25">
        <v>83.8</v>
      </c>
      <c r="U14" s="46">
        <f>86.9</f>
        <v>86.9</v>
      </c>
    </row>
    <row r="15" spans="1:21" ht="100.5" customHeight="1" x14ac:dyDescent="0.2">
      <c r="A15" s="21"/>
      <c r="B15" s="24" t="s">
        <v>44</v>
      </c>
      <c r="C15" s="90" t="s">
        <v>44</v>
      </c>
      <c r="D15" s="90"/>
      <c r="E15" s="90"/>
      <c r="F15" s="90"/>
      <c r="G15" s="90"/>
      <c r="H15" s="90"/>
      <c r="I15" s="90" t="s">
        <v>268</v>
      </c>
      <c r="J15" s="90"/>
      <c r="K15" s="90"/>
      <c r="L15" s="90" t="s">
        <v>269</v>
      </c>
      <c r="M15" s="90"/>
      <c r="N15" s="90"/>
      <c r="O15" s="90"/>
      <c r="P15" s="25" t="s">
        <v>42</v>
      </c>
      <c r="Q15" s="25" t="s">
        <v>270</v>
      </c>
      <c r="R15" s="25">
        <v>80</v>
      </c>
      <c r="S15" s="25">
        <v>80</v>
      </c>
      <c r="T15" s="25">
        <v>82.2</v>
      </c>
      <c r="U15" s="46">
        <f>102.8</f>
        <v>102.8</v>
      </c>
    </row>
    <row r="16" spans="1:21" ht="75" customHeight="1" x14ac:dyDescent="0.2">
      <c r="A16" s="21"/>
      <c r="B16" s="24" t="s">
        <v>44</v>
      </c>
      <c r="C16" s="90" t="s">
        <v>44</v>
      </c>
      <c r="D16" s="90"/>
      <c r="E16" s="90"/>
      <c r="F16" s="90"/>
      <c r="G16" s="90"/>
      <c r="H16" s="90"/>
      <c r="I16" s="90" t="s">
        <v>175</v>
      </c>
      <c r="J16" s="90"/>
      <c r="K16" s="90"/>
      <c r="L16" s="90" t="s">
        <v>176</v>
      </c>
      <c r="M16" s="90"/>
      <c r="N16" s="90"/>
      <c r="O16" s="90"/>
      <c r="P16" s="25" t="s">
        <v>42</v>
      </c>
      <c r="Q16" s="25" t="s">
        <v>177</v>
      </c>
      <c r="R16" s="25">
        <v>95.5</v>
      </c>
      <c r="S16" s="25">
        <v>95.5</v>
      </c>
      <c r="T16" s="25">
        <v>96.8</v>
      </c>
      <c r="U16" s="46">
        <f>101.4</f>
        <v>101.4</v>
      </c>
    </row>
    <row r="17" spans="1:22" ht="105.75" customHeight="1" x14ac:dyDescent="0.2">
      <c r="A17" s="21"/>
      <c r="B17" s="24" t="s">
        <v>44</v>
      </c>
      <c r="C17" s="90" t="s">
        <v>271</v>
      </c>
      <c r="D17" s="90"/>
      <c r="E17" s="90"/>
      <c r="F17" s="90"/>
      <c r="G17" s="90"/>
      <c r="H17" s="90"/>
      <c r="I17" s="90" t="s">
        <v>182</v>
      </c>
      <c r="J17" s="90"/>
      <c r="K17" s="90"/>
      <c r="L17" s="90" t="s">
        <v>183</v>
      </c>
      <c r="M17" s="90"/>
      <c r="N17" s="90"/>
      <c r="O17" s="90"/>
      <c r="P17" s="25" t="s">
        <v>42</v>
      </c>
      <c r="Q17" s="25" t="s">
        <v>57</v>
      </c>
      <c r="R17" s="25">
        <v>90</v>
      </c>
      <c r="S17" s="25">
        <v>90</v>
      </c>
      <c r="T17" s="25">
        <v>95.8</v>
      </c>
      <c r="U17" s="46">
        <f>106.4</f>
        <v>106.4</v>
      </c>
    </row>
    <row r="18" spans="1:22" ht="75" customHeight="1" x14ac:dyDescent="0.2">
      <c r="A18" s="21"/>
      <c r="B18" s="24" t="s">
        <v>44</v>
      </c>
      <c r="C18" s="90" t="s">
        <v>44</v>
      </c>
      <c r="D18" s="90"/>
      <c r="E18" s="90"/>
      <c r="F18" s="90"/>
      <c r="G18" s="90"/>
      <c r="H18" s="90"/>
      <c r="I18" s="90" t="s">
        <v>184</v>
      </c>
      <c r="J18" s="90"/>
      <c r="K18" s="90"/>
      <c r="L18" s="90" t="s">
        <v>185</v>
      </c>
      <c r="M18" s="90"/>
      <c r="N18" s="90"/>
      <c r="O18" s="90"/>
      <c r="P18" s="25" t="s">
        <v>42</v>
      </c>
      <c r="Q18" s="25" t="s">
        <v>187</v>
      </c>
      <c r="R18" s="25">
        <v>90</v>
      </c>
      <c r="S18" s="25">
        <v>90</v>
      </c>
      <c r="T18" s="25">
        <v>78.8</v>
      </c>
      <c r="U18" s="46">
        <f>87.6</f>
        <v>87.6</v>
      </c>
    </row>
    <row r="19" spans="1:22" ht="130.5" customHeight="1" x14ac:dyDescent="0.2">
      <c r="A19" s="21"/>
      <c r="B19" s="24" t="s">
        <v>44</v>
      </c>
      <c r="C19" s="90" t="s">
        <v>272</v>
      </c>
      <c r="D19" s="90"/>
      <c r="E19" s="90"/>
      <c r="F19" s="90"/>
      <c r="G19" s="90"/>
      <c r="H19" s="90"/>
      <c r="I19" s="90" t="s">
        <v>273</v>
      </c>
      <c r="J19" s="90"/>
      <c r="K19" s="90"/>
      <c r="L19" s="90" t="s">
        <v>274</v>
      </c>
      <c r="M19" s="90"/>
      <c r="N19" s="90"/>
      <c r="O19" s="90"/>
      <c r="P19" s="25" t="s">
        <v>275</v>
      </c>
      <c r="Q19" s="25" t="s">
        <v>61</v>
      </c>
      <c r="R19" s="27">
        <v>53</v>
      </c>
      <c r="S19" s="27">
        <v>53</v>
      </c>
      <c r="T19" s="27">
        <v>17</v>
      </c>
      <c r="U19" s="46">
        <f>32.1</f>
        <v>32.1</v>
      </c>
    </row>
    <row r="20" spans="1:22" ht="121.5" customHeight="1" thickBot="1" x14ac:dyDescent="0.25">
      <c r="A20" s="21"/>
      <c r="B20" s="24" t="s">
        <v>44</v>
      </c>
      <c r="C20" s="90" t="s">
        <v>44</v>
      </c>
      <c r="D20" s="90"/>
      <c r="E20" s="90"/>
      <c r="F20" s="90"/>
      <c r="G20" s="90"/>
      <c r="H20" s="90"/>
      <c r="I20" s="90" t="s">
        <v>276</v>
      </c>
      <c r="J20" s="90"/>
      <c r="K20" s="90"/>
      <c r="L20" s="90" t="s">
        <v>277</v>
      </c>
      <c r="M20" s="90"/>
      <c r="N20" s="90"/>
      <c r="O20" s="90"/>
      <c r="P20" s="25" t="s">
        <v>191</v>
      </c>
      <c r="Q20" s="25" t="s">
        <v>69</v>
      </c>
      <c r="R20" s="27">
        <v>3</v>
      </c>
      <c r="S20" s="27">
        <v>3</v>
      </c>
      <c r="T20" s="27">
        <v>4</v>
      </c>
      <c r="U20" s="46">
        <f>133.3</f>
        <v>133.30000000000001</v>
      </c>
    </row>
    <row r="21" spans="1:22" ht="94.5" customHeight="1" thickTop="1" x14ac:dyDescent="0.2">
      <c r="A21" s="21"/>
      <c r="B21" s="22" t="s">
        <v>64</v>
      </c>
      <c r="C21" s="87" t="s">
        <v>278</v>
      </c>
      <c r="D21" s="87"/>
      <c r="E21" s="87"/>
      <c r="F21" s="87"/>
      <c r="G21" s="87"/>
      <c r="H21" s="87"/>
      <c r="I21" s="87" t="s">
        <v>279</v>
      </c>
      <c r="J21" s="87"/>
      <c r="K21" s="87"/>
      <c r="L21" s="87" t="s">
        <v>194</v>
      </c>
      <c r="M21" s="87"/>
      <c r="N21" s="87"/>
      <c r="O21" s="87"/>
      <c r="P21" s="23" t="s">
        <v>42</v>
      </c>
      <c r="Q21" s="23" t="s">
        <v>61</v>
      </c>
      <c r="R21" s="23">
        <v>100</v>
      </c>
      <c r="S21" s="23">
        <v>100</v>
      </c>
      <c r="T21" s="23">
        <v>90.5</v>
      </c>
      <c r="U21" s="45">
        <f>90.5</f>
        <v>90.5</v>
      </c>
    </row>
    <row r="22" spans="1:22" ht="75" customHeight="1" x14ac:dyDescent="0.2">
      <c r="A22" s="21"/>
      <c r="B22" s="24" t="s">
        <v>44</v>
      </c>
      <c r="C22" s="90" t="s">
        <v>280</v>
      </c>
      <c r="D22" s="90"/>
      <c r="E22" s="90"/>
      <c r="F22" s="90"/>
      <c r="G22" s="90"/>
      <c r="H22" s="90"/>
      <c r="I22" s="90" t="s">
        <v>281</v>
      </c>
      <c r="J22" s="90"/>
      <c r="K22" s="90"/>
      <c r="L22" s="90" t="s">
        <v>282</v>
      </c>
      <c r="M22" s="90"/>
      <c r="N22" s="90"/>
      <c r="O22" s="90"/>
      <c r="P22" s="25" t="s">
        <v>42</v>
      </c>
      <c r="Q22" s="25" t="s">
        <v>61</v>
      </c>
      <c r="R22" s="25">
        <v>100</v>
      </c>
      <c r="S22" s="25">
        <v>100</v>
      </c>
      <c r="T22" s="25">
        <v>100</v>
      </c>
      <c r="U22" s="46">
        <f>100</f>
        <v>100</v>
      </c>
    </row>
    <row r="23" spans="1:22" ht="75" customHeight="1" x14ac:dyDescent="0.2">
      <c r="A23" s="21"/>
      <c r="B23" s="24" t="s">
        <v>44</v>
      </c>
      <c r="C23" s="90" t="s">
        <v>283</v>
      </c>
      <c r="D23" s="90"/>
      <c r="E23" s="90"/>
      <c r="F23" s="90"/>
      <c r="G23" s="90"/>
      <c r="H23" s="90"/>
      <c r="I23" s="90" t="s">
        <v>284</v>
      </c>
      <c r="J23" s="90"/>
      <c r="K23" s="90"/>
      <c r="L23" s="90" t="s">
        <v>199</v>
      </c>
      <c r="M23" s="90"/>
      <c r="N23" s="90"/>
      <c r="O23" s="90"/>
      <c r="P23" s="25" t="s">
        <v>42</v>
      </c>
      <c r="Q23" s="25" t="s">
        <v>69</v>
      </c>
      <c r="R23" s="25">
        <v>100</v>
      </c>
      <c r="S23" s="25">
        <v>100</v>
      </c>
      <c r="T23" s="25">
        <v>286.39999999999998</v>
      </c>
      <c r="U23" s="46">
        <f>286.4</f>
        <v>286.39999999999998</v>
      </c>
    </row>
    <row r="24" spans="1:22" ht="75" customHeight="1" x14ac:dyDescent="0.2">
      <c r="A24" s="21"/>
      <c r="B24" s="24" t="s">
        <v>44</v>
      </c>
      <c r="C24" s="90" t="s">
        <v>285</v>
      </c>
      <c r="D24" s="90"/>
      <c r="E24" s="90"/>
      <c r="F24" s="90"/>
      <c r="G24" s="90"/>
      <c r="H24" s="90"/>
      <c r="I24" s="90" t="s">
        <v>286</v>
      </c>
      <c r="J24" s="90"/>
      <c r="K24" s="90"/>
      <c r="L24" s="90" t="s">
        <v>287</v>
      </c>
      <c r="M24" s="90"/>
      <c r="N24" s="90"/>
      <c r="O24" s="90"/>
      <c r="P24" s="25" t="s">
        <v>42</v>
      </c>
      <c r="Q24" s="25" t="s">
        <v>61</v>
      </c>
      <c r="R24" s="25">
        <v>100</v>
      </c>
      <c r="S24" s="25">
        <v>100</v>
      </c>
      <c r="T24" s="25">
        <v>32.1</v>
      </c>
      <c r="U24" s="46">
        <f>32.1</f>
        <v>32.1</v>
      </c>
    </row>
    <row r="25" spans="1:22" ht="115.5" customHeight="1" thickBot="1" x14ac:dyDescent="0.25">
      <c r="A25" s="21"/>
      <c r="B25" s="24" t="s">
        <v>44</v>
      </c>
      <c r="C25" s="90" t="s">
        <v>288</v>
      </c>
      <c r="D25" s="90"/>
      <c r="E25" s="90"/>
      <c r="F25" s="90"/>
      <c r="G25" s="90"/>
      <c r="H25" s="90"/>
      <c r="I25" s="90" t="s">
        <v>289</v>
      </c>
      <c r="J25" s="90"/>
      <c r="K25" s="90"/>
      <c r="L25" s="90" t="s">
        <v>290</v>
      </c>
      <c r="M25" s="90"/>
      <c r="N25" s="90"/>
      <c r="O25" s="90"/>
      <c r="P25" s="25" t="s">
        <v>42</v>
      </c>
      <c r="Q25" s="25" t="s">
        <v>69</v>
      </c>
      <c r="R25" s="25">
        <v>100</v>
      </c>
      <c r="S25" s="25">
        <v>100</v>
      </c>
      <c r="T25" s="25">
        <v>133.30000000000001</v>
      </c>
      <c r="U25" s="46">
        <f>133.3</f>
        <v>133.30000000000001</v>
      </c>
    </row>
    <row r="26" spans="1:22" ht="14.25" customHeight="1" thickTop="1" thickBot="1" x14ac:dyDescent="0.25">
      <c r="B26" s="4" t="s">
        <v>124</v>
      </c>
      <c r="C26" s="5"/>
      <c r="D26" s="5"/>
      <c r="E26" s="5"/>
      <c r="F26" s="5"/>
      <c r="G26" s="5"/>
      <c r="H26" s="6"/>
      <c r="I26" s="6"/>
      <c r="J26" s="6"/>
      <c r="K26" s="6"/>
      <c r="L26" s="6"/>
      <c r="M26" s="6"/>
      <c r="N26" s="6"/>
      <c r="O26" s="6"/>
      <c r="P26" s="6"/>
      <c r="Q26" s="6"/>
      <c r="R26" s="6"/>
      <c r="S26" s="6"/>
      <c r="T26" s="6"/>
      <c r="U26" s="47"/>
      <c r="V26" s="28"/>
    </row>
    <row r="27" spans="1:22" ht="26.25" customHeight="1" thickTop="1" x14ac:dyDescent="0.2">
      <c r="B27" s="29"/>
      <c r="C27" s="30"/>
      <c r="D27" s="30"/>
      <c r="E27" s="30"/>
      <c r="F27" s="30"/>
      <c r="G27" s="30"/>
      <c r="H27" s="31"/>
      <c r="I27" s="31"/>
      <c r="J27" s="31"/>
      <c r="K27" s="31"/>
      <c r="L27" s="31"/>
      <c r="M27" s="31"/>
      <c r="N27" s="31"/>
      <c r="O27" s="31"/>
      <c r="P27" s="31"/>
      <c r="Q27" s="31"/>
      <c r="R27" s="32"/>
      <c r="S27" s="33" t="s">
        <v>33</v>
      </c>
      <c r="T27" s="33" t="s">
        <v>125</v>
      </c>
      <c r="U27" s="48" t="s">
        <v>126</v>
      </c>
    </row>
    <row r="28" spans="1:22" ht="26.25" customHeight="1" thickBot="1" x14ac:dyDescent="0.25">
      <c r="B28" s="34"/>
      <c r="C28" s="35"/>
      <c r="D28" s="35"/>
      <c r="E28" s="35"/>
      <c r="F28" s="35"/>
      <c r="G28" s="35"/>
      <c r="H28" s="36"/>
      <c r="I28" s="36"/>
      <c r="J28" s="36"/>
      <c r="K28" s="36"/>
      <c r="L28" s="36"/>
      <c r="M28" s="36"/>
      <c r="N28" s="36"/>
      <c r="O28" s="36"/>
      <c r="P28" s="36"/>
      <c r="Q28" s="36"/>
      <c r="R28" s="36"/>
      <c r="S28" s="37" t="s">
        <v>127</v>
      </c>
      <c r="T28" s="38" t="s">
        <v>127</v>
      </c>
      <c r="U28" s="49" t="s">
        <v>128</v>
      </c>
    </row>
    <row r="29" spans="1:22" ht="13.5" customHeight="1" thickBot="1" x14ac:dyDescent="0.25">
      <c r="B29" s="91" t="s">
        <v>129</v>
      </c>
      <c r="C29" s="92"/>
      <c r="D29" s="92"/>
      <c r="E29" s="39"/>
      <c r="F29" s="39"/>
      <c r="G29" s="39"/>
      <c r="H29" s="40"/>
      <c r="I29" s="40"/>
      <c r="J29" s="40"/>
      <c r="K29" s="40"/>
      <c r="L29" s="40"/>
      <c r="M29" s="40"/>
      <c r="N29" s="40"/>
      <c r="O29" s="40"/>
      <c r="P29" s="41"/>
      <c r="Q29" s="41"/>
      <c r="R29" s="41"/>
      <c r="S29" s="52">
        <v>155.49275399999999</v>
      </c>
      <c r="T29" s="52">
        <v>154.62952378</v>
      </c>
      <c r="U29" s="53">
        <f>+IF(ISERR(T29/S29*100),"N/A",ROUND(T29/S29*100,1))</f>
        <v>99.4</v>
      </c>
    </row>
    <row r="30" spans="1:22" ht="13.5" customHeight="1" thickBot="1" x14ac:dyDescent="0.25">
      <c r="B30" s="93" t="s">
        <v>130</v>
      </c>
      <c r="C30" s="94"/>
      <c r="D30" s="94"/>
      <c r="E30" s="42"/>
      <c r="F30" s="42"/>
      <c r="G30" s="42"/>
      <c r="H30" s="43"/>
      <c r="I30" s="43"/>
      <c r="J30" s="43"/>
      <c r="K30" s="43"/>
      <c r="L30" s="43"/>
      <c r="M30" s="43"/>
      <c r="N30" s="43"/>
      <c r="O30" s="43"/>
      <c r="P30" s="44"/>
      <c r="Q30" s="44"/>
      <c r="R30" s="44"/>
      <c r="S30" s="52">
        <v>154.62952378</v>
      </c>
      <c r="T30" s="52">
        <v>154.62952378</v>
      </c>
      <c r="U30" s="53">
        <f>+IF(ISERR(T30/S30*100),"N/A",ROUND(T30/S30*100,1))</f>
        <v>100</v>
      </c>
    </row>
    <row r="31" spans="1:22" ht="14.85" customHeight="1" thickTop="1" thickBot="1" x14ac:dyDescent="0.25">
      <c r="B31" s="4" t="s">
        <v>131</v>
      </c>
      <c r="C31" s="5"/>
      <c r="D31" s="5"/>
      <c r="E31" s="5"/>
      <c r="F31" s="5"/>
      <c r="G31" s="5"/>
      <c r="H31" s="6"/>
      <c r="I31" s="6"/>
      <c r="J31" s="6"/>
      <c r="K31" s="6"/>
      <c r="L31" s="6"/>
      <c r="M31" s="6"/>
      <c r="N31" s="6"/>
      <c r="O31" s="6"/>
      <c r="P31" s="6"/>
      <c r="Q31" s="6"/>
      <c r="R31" s="6"/>
      <c r="S31" s="6"/>
      <c r="T31" s="6"/>
      <c r="U31" s="47"/>
    </row>
    <row r="32" spans="1:22" ht="44.25" customHeight="1" thickTop="1" x14ac:dyDescent="0.2">
      <c r="B32" s="95" t="s">
        <v>132</v>
      </c>
      <c r="C32" s="96"/>
      <c r="D32" s="96"/>
      <c r="E32" s="96"/>
      <c r="F32" s="96"/>
      <c r="G32" s="96"/>
      <c r="H32" s="96"/>
      <c r="I32" s="96"/>
      <c r="J32" s="96"/>
      <c r="K32" s="96"/>
      <c r="L32" s="96"/>
      <c r="M32" s="96"/>
      <c r="N32" s="96"/>
      <c r="O32" s="96"/>
      <c r="P32" s="96"/>
      <c r="Q32" s="96"/>
      <c r="R32" s="96"/>
      <c r="S32" s="96"/>
      <c r="T32" s="96"/>
      <c r="U32" s="104"/>
    </row>
    <row r="33" spans="2:21" ht="92.25" customHeight="1" x14ac:dyDescent="0.2">
      <c r="B33" s="98" t="s">
        <v>291</v>
      </c>
      <c r="C33" s="99"/>
      <c r="D33" s="99"/>
      <c r="E33" s="99"/>
      <c r="F33" s="99"/>
      <c r="G33" s="99"/>
      <c r="H33" s="99"/>
      <c r="I33" s="99"/>
      <c r="J33" s="99"/>
      <c r="K33" s="99"/>
      <c r="L33" s="99"/>
      <c r="M33" s="99"/>
      <c r="N33" s="99"/>
      <c r="O33" s="99"/>
      <c r="P33" s="99"/>
      <c r="Q33" s="99"/>
      <c r="R33" s="99"/>
      <c r="S33" s="99"/>
      <c r="T33" s="99"/>
      <c r="U33" s="105"/>
    </row>
    <row r="34" spans="2:21" ht="93" customHeight="1" x14ac:dyDescent="0.2">
      <c r="B34" s="98" t="s">
        <v>292</v>
      </c>
      <c r="C34" s="99"/>
      <c r="D34" s="99"/>
      <c r="E34" s="99"/>
      <c r="F34" s="99"/>
      <c r="G34" s="99"/>
      <c r="H34" s="99"/>
      <c r="I34" s="99"/>
      <c r="J34" s="99"/>
      <c r="K34" s="99"/>
      <c r="L34" s="99"/>
      <c r="M34" s="99"/>
      <c r="N34" s="99"/>
      <c r="O34" s="99"/>
      <c r="P34" s="99"/>
      <c r="Q34" s="99"/>
      <c r="R34" s="99"/>
      <c r="S34" s="99"/>
      <c r="T34" s="99"/>
      <c r="U34" s="105"/>
    </row>
    <row r="35" spans="2:21" ht="68.25" customHeight="1" x14ac:dyDescent="0.2">
      <c r="B35" s="98" t="s">
        <v>293</v>
      </c>
      <c r="C35" s="99"/>
      <c r="D35" s="99"/>
      <c r="E35" s="99"/>
      <c r="F35" s="99"/>
      <c r="G35" s="99"/>
      <c r="H35" s="99"/>
      <c r="I35" s="99"/>
      <c r="J35" s="99"/>
      <c r="K35" s="99"/>
      <c r="L35" s="99"/>
      <c r="M35" s="99"/>
      <c r="N35" s="99"/>
      <c r="O35" s="99"/>
      <c r="P35" s="99"/>
      <c r="Q35" s="99"/>
      <c r="R35" s="99"/>
      <c r="S35" s="99"/>
      <c r="T35" s="99"/>
      <c r="U35" s="105"/>
    </row>
    <row r="36" spans="2:21" ht="279" customHeight="1" x14ac:dyDescent="0.2">
      <c r="B36" s="98" t="s">
        <v>294</v>
      </c>
      <c r="C36" s="99"/>
      <c r="D36" s="99"/>
      <c r="E36" s="99"/>
      <c r="F36" s="99"/>
      <c r="G36" s="99"/>
      <c r="H36" s="99"/>
      <c r="I36" s="99"/>
      <c r="J36" s="99"/>
      <c r="K36" s="99"/>
      <c r="L36" s="99"/>
      <c r="M36" s="99"/>
      <c r="N36" s="99"/>
      <c r="O36" s="99"/>
      <c r="P36" s="99"/>
      <c r="Q36" s="99"/>
      <c r="R36" s="99"/>
      <c r="S36" s="99"/>
      <c r="T36" s="99"/>
      <c r="U36" s="105"/>
    </row>
    <row r="37" spans="2:21" ht="63.75" customHeight="1" x14ac:dyDescent="0.2">
      <c r="B37" s="98" t="s">
        <v>295</v>
      </c>
      <c r="C37" s="99"/>
      <c r="D37" s="99"/>
      <c r="E37" s="99"/>
      <c r="F37" s="99"/>
      <c r="G37" s="99"/>
      <c r="H37" s="99"/>
      <c r="I37" s="99"/>
      <c r="J37" s="99"/>
      <c r="K37" s="99"/>
      <c r="L37" s="99"/>
      <c r="M37" s="99"/>
      <c r="N37" s="99"/>
      <c r="O37" s="99"/>
      <c r="P37" s="99"/>
      <c r="Q37" s="99"/>
      <c r="R37" s="99"/>
      <c r="S37" s="99"/>
      <c r="T37" s="99"/>
      <c r="U37" s="105"/>
    </row>
    <row r="38" spans="2:21" ht="63.75" customHeight="1" x14ac:dyDescent="0.2">
      <c r="B38" s="98" t="s">
        <v>296</v>
      </c>
      <c r="C38" s="99"/>
      <c r="D38" s="99"/>
      <c r="E38" s="99"/>
      <c r="F38" s="99"/>
      <c r="G38" s="99"/>
      <c r="H38" s="99"/>
      <c r="I38" s="99"/>
      <c r="J38" s="99"/>
      <c r="K38" s="99"/>
      <c r="L38" s="99"/>
      <c r="M38" s="99"/>
      <c r="N38" s="99"/>
      <c r="O38" s="99"/>
      <c r="P38" s="99"/>
      <c r="Q38" s="99"/>
      <c r="R38" s="99"/>
      <c r="S38" s="99"/>
      <c r="T38" s="99"/>
      <c r="U38" s="100"/>
    </row>
    <row r="39" spans="2:21" ht="63" customHeight="1" x14ac:dyDescent="0.2">
      <c r="B39" s="98" t="s">
        <v>297</v>
      </c>
      <c r="C39" s="99"/>
      <c r="D39" s="99"/>
      <c r="E39" s="99"/>
      <c r="F39" s="99"/>
      <c r="G39" s="99"/>
      <c r="H39" s="99"/>
      <c r="I39" s="99"/>
      <c r="J39" s="99"/>
      <c r="K39" s="99"/>
      <c r="L39" s="99"/>
      <c r="M39" s="99"/>
      <c r="N39" s="99"/>
      <c r="O39" s="99"/>
      <c r="P39" s="99"/>
      <c r="Q39" s="99"/>
      <c r="R39" s="99"/>
      <c r="S39" s="99"/>
      <c r="T39" s="99"/>
      <c r="U39" s="100"/>
    </row>
    <row r="40" spans="2:21" ht="88.5" customHeight="1" x14ac:dyDescent="0.2">
      <c r="B40" s="98" t="s">
        <v>298</v>
      </c>
      <c r="C40" s="99"/>
      <c r="D40" s="99"/>
      <c r="E40" s="99"/>
      <c r="F40" s="99"/>
      <c r="G40" s="99"/>
      <c r="H40" s="99"/>
      <c r="I40" s="99"/>
      <c r="J40" s="99"/>
      <c r="K40" s="99"/>
      <c r="L40" s="99"/>
      <c r="M40" s="99"/>
      <c r="N40" s="99"/>
      <c r="O40" s="99"/>
      <c r="P40" s="99"/>
      <c r="Q40" s="99"/>
      <c r="R40" s="99"/>
      <c r="S40" s="99"/>
      <c r="T40" s="99"/>
      <c r="U40" s="100"/>
    </row>
    <row r="41" spans="2:21" ht="78.75" customHeight="1" x14ac:dyDescent="0.2">
      <c r="B41" s="98" t="s">
        <v>299</v>
      </c>
      <c r="C41" s="99"/>
      <c r="D41" s="99"/>
      <c r="E41" s="99"/>
      <c r="F41" s="99"/>
      <c r="G41" s="99"/>
      <c r="H41" s="99"/>
      <c r="I41" s="99"/>
      <c r="J41" s="99"/>
      <c r="K41" s="99"/>
      <c r="L41" s="99"/>
      <c r="M41" s="99"/>
      <c r="N41" s="99"/>
      <c r="O41" s="99"/>
      <c r="P41" s="99"/>
      <c r="Q41" s="99"/>
      <c r="R41" s="99"/>
      <c r="S41" s="99"/>
      <c r="T41" s="99"/>
      <c r="U41" s="100"/>
    </row>
    <row r="42" spans="2:21" ht="64.5" customHeight="1" x14ac:dyDescent="0.2">
      <c r="B42" s="98" t="s">
        <v>300</v>
      </c>
      <c r="C42" s="99"/>
      <c r="D42" s="99"/>
      <c r="E42" s="99"/>
      <c r="F42" s="99"/>
      <c r="G42" s="99"/>
      <c r="H42" s="99"/>
      <c r="I42" s="99"/>
      <c r="J42" s="99"/>
      <c r="K42" s="99"/>
      <c r="L42" s="99"/>
      <c r="M42" s="99"/>
      <c r="N42" s="99"/>
      <c r="O42" s="99"/>
      <c r="P42" s="99"/>
      <c r="Q42" s="99"/>
      <c r="R42" s="99"/>
      <c r="S42" s="99"/>
      <c r="T42" s="99"/>
      <c r="U42" s="100"/>
    </row>
    <row r="43" spans="2:21" ht="63" customHeight="1" x14ac:dyDescent="0.2">
      <c r="B43" s="98" t="s">
        <v>301</v>
      </c>
      <c r="C43" s="99"/>
      <c r="D43" s="99"/>
      <c r="E43" s="99"/>
      <c r="F43" s="99"/>
      <c r="G43" s="99"/>
      <c r="H43" s="99"/>
      <c r="I43" s="99"/>
      <c r="J43" s="99"/>
      <c r="K43" s="99"/>
      <c r="L43" s="99"/>
      <c r="M43" s="99"/>
      <c r="N43" s="99"/>
      <c r="O43" s="99"/>
      <c r="P43" s="99"/>
      <c r="Q43" s="99"/>
      <c r="R43" s="99"/>
      <c r="S43" s="99"/>
      <c r="T43" s="99"/>
      <c r="U43" s="100"/>
    </row>
    <row r="44" spans="2:21" ht="75" customHeight="1" x14ac:dyDescent="0.2">
      <c r="B44" s="98" t="s">
        <v>302</v>
      </c>
      <c r="C44" s="99"/>
      <c r="D44" s="99"/>
      <c r="E44" s="99"/>
      <c r="F44" s="99"/>
      <c r="G44" s="99"/>
      <c r="H44" s="99"/>
      <c r="I44" s="99"/>
      <c r="J44" s="99"/>
      <c r="K44" s="99"/>
      <c r="L44" s="99"/>
      <c r="M44" s="99"/>
      <c r="N44" s="99"/>
      <c r="O44" s="99"/>
      <c r="P44" s="99"/>
      <c r="Q44" s="99"/>
      <c r="R44" s="99"/>
      <c r="S44" s="99"/>
      <c r="T44" s="99"/>
      <c r="U44" s="100"/>
    </row>
    <row r="45" spans="2:21" ht="70.5" customHeight="1" x14ac:dyDescent="0.2">
      <c r="B45" s="98" t="s">
        <v>303</v>
      </c>
      <c r="C45" s="99"/>
      <c r="D45" s="99"/>
      <c r="E45" s="99"/>
      <c r="F45" s="99"/>
      <c r="G45" s="99"/>
      <c r="H45" s="99"/>
      <c r="I45" s="99"/>
      <c r="J45" s="99"/>
      <c r="K45" s="99"/>
      <c r="L45" s="99"/>
      <c r="M45" s="99"/>
      <c r="N45" s="99"/>
      <c r="O45" s="99"/>
      <c r="P45" s="99"/>
      <c r="Q45" s="99"/>
      <c r="R45" s="99"/>
      <c r="S45" s="99"/>
      <c r="T45" s="99"/>
      <c r="U45" s="100"/>
    </row>
    <row r="46" spans="2:21" ht="77.25" customHeight="1" x14ac:dyDescent="0.2">
      <c r="B46" s="98" t="s">
        <v>304</v>
      </c>
      <c r="C46" s="99"/>
      <c r="D46" s="99"/>
      <c r="E46" s="99"/>
      <c r="F46" s="99"/>
      <c r="G46" s="99"/>
      <c r="H46" s="99"/>
      <c r="I46" s="99"/>
      <c r="J46" s="99"/>
      <c r="K46" s="99"/>
      <c r="L46" s="99"/>
      <c r="M46" s="99"/>
      <c r="N46" s="99"/>
      <c r="O46" s="99"/>
      <c r="P46" s="99"/>
      <c r="Q46" s="99"/>
      <c r="R46" s="99"/>
      <c r="S46" s="99"/>
      <c r="T46" s="99"/>
      <c r="U46" s="100"/>
    </row>
    <row r="47" spans="2:21" ht="70.5" customHeight="1" thickBot="1" x14ac:dyDescent="0.25">
      <c r="B47" s="101" t="s">
        <v>305</v>
      </c>
      <c r="C47" s="102"/>
      <c r="D47" s="102"/>
      <c r="E47" s="102"/>
      <c r="F47" s="102"/>
      <c r="G47" s="102"/>
      <c r="H47" s="102"/>
      <c r="I47" s="102"/>
      <c r="J47" s="102"/>
      <c r="K47" s="102"/>
      <c r="L47" s="102"/>
      <c r="M47" s="102"/>
      <c r="N47" s="102"/>
      <c r="O47" s="102"/>
      <c r="P47" s="102"/>
      <c r="Q47" s="102"/>
      <c r="R47" s="102"/>
      <c r="S47" s="102"/>
      <c r="T47" s="102"/>
      <c r="U47" s="103"/>
    </row>
  </sheetData>
  <mergeCells count="84">
    <mergeCell ref="B47:U47"/>
    <mergeCell ref="B36:U36"/>
    <mergeCell ref="B37:U37"/>
    <mergeCell ref="B38:U38"/>
    <mergeCell ref="B39:U39"/>
    <mergeCell ref="B40:U40"/>
    <mergeCell ref="B41:U41"/>
    <mergeCell ref="B42:U42"/>
    <mergeCell ref="B43:U43"/>
    <mergeCell ref="B44:U44"/>
    <mergeCell ref="B45:U45"/>
    <mergeCell ref="B46:U46"/>
    <mergeCell ref="B35:U35"/>
    <mergeCell ref="C24:H24"/>
    <mergeCell ref="I24:K24"/>
    <mergeCell ref="L24:O24"/>
    <mergeCell ref="C25:H25"/>
    <mergeCell ref="I25:K25"/>
    <mergeCell ref="L25:O25"/>
    <mergeCell ref="B29:D29"/>
    <mergeCell ref="B30:D30"/>
    <mergeCell ref="B32:U32"/>
    <mergeCell ref="B33:U33"/>
    <mergeCell ref="B34:U34"/>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7"/>
  <sheetViews>
    <sheetView view="pageBreakPreview" zoomScale="80" zoomScaleNormal="80" zoomScaleSheetLayoutView="80" workbookViewId="0">
      <selection activeCell="R13" sqref="R13"/>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6" t="s">
        <v>0</v>
      </c>
      <c r="C1" s="56"/>
      <c r="D1" s="56"/>
      <c r="E1" s="56"/>
      <c r="F1" s="56"/>
      <c r="G1" s="56"/>
      <c r="H1" s="56"/>
      <c r="I1" s="56"/>
      <c r="J1" s="56"/>
      <c r="K1" s="56"/>
      <c r="L1" s="56"/>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69.75" customHeight="1" thickTop="1" x14ac:dyDescent="0.2">
      <c r="B4" s="8" t="s">
        <v>6</v>
      </c>
      <c r="C4" s="9" t="s">
        <v>306</v>
      </c>
      <c r="D4" s="77" t="s">
        <v>307</v>
      </c>
      <c r="E4" s="77"/>
      <c r="F4" s="77"/>
      <c r="G4" s="77"/>
      <c r="H4" s="77"/>
      <c r="I4" s="10"/>
      <c r="J4" s="11" t="s">
        <v>9</v>
      </c>
      <c r="K4" s="12" t="s">
        <v>10</v>
      </c>
      <c r="L4" s="78" t="s">
        <v>11</v>
      </c>
      <c r="M4" s="78"/>
      <c r="N4" s="78"/>
      <c r="O4" s="78"/>
      <c r="P4" s="11" t="s">
        <v>12</v>
      </c>
      <c r="Q4" s="78" t="s">
        <v>308</v>
      </c>
      <c r="R4" s="78"/>
      <c r="S4" s="11" t="s">
        <v>14</v>
      </c>
      <c r="T4" s="78"/>
      <c r="U4" s="79"/>
    </row>
    <row r="5" spans="1:21" ht="15.75" customHeight="1" x14ac:dyDescent="0.2">
      <c r="B5" s="80" t="s">
        <v>15</v>
      </c>
      <c r="C5" s="81"/>
      <c r="D5" s="81"/>
      <c r="E5" s="81"/>
      <c r="F5" s="81"/>
      <c r="G5" s="81"/>
      <c r="H5" s="81"/>
      <c r="I5" s="81"/>
      <c r="J5" s="81"/>
      <c r="K5" s="81"/>
      <c r="L5" s="81"/>
      <c r="M5" s="81"/>
      <c r="N5" s="81"/>
      <c r="O5" s="81"/>
      <c r="P5" s="81"/>
      <c r="Q5" s="81"/>
      <c r="R5" s="81"/>
      <c r="S5" s="81"/>
      <c r="T5" s="81"/>
      <c r="U5" s="82"/>
    </row>
    <row r="6" spans="1:21" ht="45.75" customHeight="1" thickBot="1" x14ac:dyDescent="0.25">
      <c r="B6" s="13" t="s">
        <v>16</v>
      </c>
      <c r="C6" s="88" t="s">
        <v>17</v>
      </c>
      <c r="D6" s="88"/>
      <c r="E6" s="88"/>
      <c r="F6" s="88"/>
      <c r="G6" s="88"/>
      <c r="H6" s="14"/>
      <c r="I6" s="14"/>
      <c r="J6" s="14" t="s">
        <v>18</v>
      </c>
      <c r="K6" s="88" t="s">
        <v>19</v>
      </c>
      <c r="L6" s="88"/>
      <c r="M6" s="88"/>
      <c r="N6" s="15"/>
      <c r="O6" s="16" t="s">
        <v>20</v>
      </c>
      <c r="P6" s="88" t="s">
        <v>21</v>
      </c>
      <c r="Q6" s="88"/>
      <c r="R6" s="17"/>
      <c r="S6" s="16" t="s">
        <v>22</v>
      </c>
      <c r="T6" s="88" t="s">
        <v>309</v>
      </c>
      <c r="U6" s="89"/>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0" t="s">
        <v>25</v>
      </c>
      <c r="C8" s="63" t="s">
        <v>26</v>
      </c>
      <c r="D8" s="63"/>
      <c r="E8" s="63"/>
      <c r="F8" s="63"/>
      <c r="G8" s="63"/>
      <c r="H8" s="64"/>
      <c r="I8" s="69" t="s">
        <v>27</v>
      </c>
      <c r="J8" s="70"/>
      <c r="K8" s="70"/>
      <c r="L8" s="70"/>
      <c r="M8" s="70"/>
      <c r="N8" s="70"/>
      <c r="O8" s="70"/>
      <c r="P8" s="70"/>
      <c r="Q8" s="70"/>
      <c r="R8" s="70"/>
      <c r="S8" s="71"/>
      <c r="T8" s="72" t="s">
        <v>28</v>
      </c>
      <c r="U8" s="73"/>
    </row>
    <row r="9" spans="1:21" ht="19.5" customHeight="1" x14ac:dyDescent="0.2">
      <c r="B9" s="61"/>
      <c r="C9" s="65"/>
      <c r="D9" s="65"/>
      <c r="E9" s="65"/>
      <c r="F9" s="65"/>
      <c r="G9" s="65"/>
      <c r="H9" s="66"/>
      <c r="I9" s="74" t="s">
        <v>29</v>
      </c>
      <c r="J9" s="63"/>
      <c r="K9" s="63"/>
      <c r="L9" s="63" t="s">
        <v>30</v>
      </c>
      <c r="M9" s="63"/>
      <c r="N9" s="63"/>
      <c r="O9" s="63"/>
      <c r="P9" s="63" t="s">
        <v>31</v>
      </c>
      <c r="Q9" s="63" t="s">
        <v>32</v>
      </c>
      <c r="R9" s="83" t="s">
        <v>33</v>
      </c>
      <c r="S9" s="84"/>
      <c r="T9" s="63" t="s">
        <v>34</v>
      </c>
      <c r="U9" s="85" t="s">
        <v>35</v>
      </c>
    </row>
    <row r="10" spans="1:21" ht="26.25" customHeight="1" thickBot="1" x14ac:dyDescent="0.25">
      <c r="B10" s="62"/>
      <c r="C10" s="67"/>
      <c r="D10" s="67"/>
      <c r="E10" s="67"/>
      <c r="F10" s="67"/>
      <c r="G10" s="67"/>
      <c r="H10" s="68"/>
      <c r="I10" s="75"/>
      <c r="J10" s="76"/>
      <c r="K10" s="76"/>
      <c r="L10" s="76"/>
      <c r="M10" s="76"/>
      <c r="N10" s="76"/>
      <c r="O10" s="76"/>
      <c r="P10" s="76"/>
      <c r="Q10" s="76"/>
      <c r="R10" s="19" t="s">
        <v>36</v>
      </c>
      <c r="S10" s="20" t="s">
        <v>37</v>
      </c>
      <c r="T10" s="76"/>
      <c r="U10" s="86"/>
    </row>
    <row r="11" spans="1:21" ht="75" customHeight="1" thickTop="1" thickBot="1" x14ac:dyDescent="0.25">
      <c r="A11" s="21"/>
      <c r="B11" s="22" t="s">
        <v>38</v>
      </c>
      <c r="C11" s="87" t="s">
        <v>310</v>
      </c>
      <c r="D11" s="87"/>
      <c r="E11" s="87"/>
      <c r="F11" s="87"/>
      <c r="G11" s="87"/>
      <c r="H11" s="87"/>
      <c r="I11" s="87" t="s">
        <v>311</v>
      </c>
      <c r="J11" s="87"/>
      <c r="K11" s="87"/>
      <c r="L11" s="87" t="s">
        <v>312</v>
      </c>
      <c r="M11" s="87"/>
      <c r="N11" s="87"/>
      <c r="O11" s="87"/>
      <c r="P11" s="23" t="s">
        <v>313</v>
      </c>
      <c r="Q11" s="23" t="s">
        <v>43</v>
      </c>
      <c r="R11" s="23">
        <v>9</v>
      </c>
      <c r="S11" s="23">
        <v>9</v>
      </c>
      <c r="T11" s="23">
        <v>5.0999999999999996</v>
      </c>
      <c r="U11" s="45">
        <f>60</f>
        <v>60</v>
      </c>
    </row>
    <row r="12" spans="1:21" ht="75" customHeight="1" thickTop="1" thickBot="1" x14ac:dyDescent="0.25">
      <c r="A12" s="21"/>
      <c r="B12" s="22" t="s">
        <v>47</v>
      </c>
      <c r="C12" s="87" t="s">
        <v>314</v>
      </c>
      <c r="D12" s="87"/>
      <c r="E12" s="87"/>
      <c r="F12" s="87"/>
      <c r="G12" s="87"/>
      <c r="H12" s="87"/>
      <c r="I12" s="87" t="s">
        <v>315</v>
      </c>
      <c r="J12" s="87"/>
      <c r="K12" s="87"/>
      <c r="L12" s="87" t="s">
        <v>316</v>
      </c>
      <c r="M12" s="87"/>
      <c r="N12" s="87"/>
      <c r="O12" s="87"/>
      <c r="P12" s="23" t="s">
        <v>221</v>
      </c>
      <c r="Q12" s="23" t="s">
        <v>222</v>
      </c>
      <c r="R12" s="26">
        <v>25000</v>
      </c>
      <c r="S12" s="26">
        <v>25000</v>
      </c>
      <c r="T12" s="26">
        <v>33059</v>
      </c>
      <c r="U12" s="45">
        <f>132.2</f>
        <v>132.19999999999999</v>
      </c>
    </row>
    <row r="13" spans="1:21" ht="75" customHeight="1" thickTop="1" thickBot="1" x14ac:dyDescent="0.25">
      <c r="A13" s="21"/>
      <c r="B13" s="22" t="s">
        <v>53</v>
      </c>
      <c r="C13" s="87" t="s">
        <v>317</v>
      </c>
      <c r="D13" s="87"/>
      <c r="E13" s="87"/>
      <c r="F13" s="87"/>
      <c r="G13" s="87"/>
      <c r="H13" s="87"/>
      <c r="I13" s="87" t="s">
        <v>318</v>
      </c>
      <c r="J13" s="87"/>
      <c r="K13" s="87"/>
      <c r="L13" s="87" t="s">
        <v>319</v>
      </c>
      <c r="M13" s="87"/>
      <c r="N13" s="87"/>
      <c r="O13" s="87"/>
      <c r="P13" s="23" t="s">
        <v>221</v>
      </c>
      <c r="Q13" s="23" t="s">
        <v>222</v>
      </c>
      <c r="R13" s="26">
        <v>12000</v>
      </c>
      <c r="S13" s="26">
        <v>12000</v>
      </c>
      <c r="T13" s="26">
        <v>8326</v>
      </c>
      <c r="U13" s="45">
        <f>70</f>
        <v>70</v>
      </c>
    </row>
    <row r="14" spans="1:21" ht="75" customHeight="1" thickTop="1" x14ac:dyDescent="0.2">
      <c r="A14" s="21"/>
      <c r="B14" s="22" t="s">
        <v>64</v>
      </c>
      <c r="C14" s="87" t="s">
        <v>320</v>
      </c>
      <c r="D14" s="87"/>
      <c r="E14" s="87"/>
      <c r="F14" s="87"/>
      <c r="G14" s="87"/>
      <c r="H14" s="87"/>
      <c r="I14" s="87" t="s">
        <v>321</v>
      </c>
      <c r="J14" s="87"/>
      <c r="K14" s="87"/>
      <c r="L14" s="87" t="s">
        <v>322</v>
      </c>
      <c r="M14" s="87"/>
      <c r="N14" s="87"/>
      <c r="O14" s="87"/>
      <c r="P14" s="23" t="s">
        <v>323</v>
      </c>
      <c r="Q14" s="23" t="s">
        <v>77</v>
      </c>
      <c r="R14" s="26">
        <v>30</v>
      </c>
      <c r="S14" s="26">
        <v>30</v>
      </c>
      <c r="T14" s="26">
        <v>17</v>
      </c>
      <c r="U14" s="45">
        <f>60</f>
        <v>60</v>
      </c>
    </row>
    <row r="15" spans="1:21" ht="78.75" customHeight="1" x14ac:dyDescent="0.2">
      <c r="A15" s="21"/>
      <c r="B15" s="24" t="s">
        <v>44</v>
      </c>
      <c r="C15" s="90" t="s">
        <v>324</v>
      </c>
      <c r="D15" s="90"/>
      <c r="E15" s="90"/>
      <c r="F15" s="90"/>
      <c r="G15" s="90"/>
      <c r="H15" s="90"/>
      <c r="I15" s="90" t="s">
        <v>325</v>
      </c>
      <c r="J15" s="90"/>
      <c r="K15" s="90"/>
      <c r="L15" s="90" t="s">
        <v>326</v>
      </c>
      <c r="M15" s="90"/>
      <c r="N15" s="90"/>
      <c r="O15" s="90"/>
      <c r="P15" s="25" t="s">
        <v>327</v>
      </c>
      <c r="Q15" s="25" t="s">
        <v>328</v>
      </c>
      <c r="R15" s="25">
        <v>2.5</v>
      </c>
      <c r="S15" s="25">
        <v>2.5</v>
      </c>
      <c r="T15" s="25">
        <v>2.5</v>
      </c>
      <c r="U15" s="46">
        <f>100</f>
        <v>100</v>
      </c>
    </row>
    <row r="16" spans="1:21" ht="111.75" customHeight="1" x14ac:dyDescent="0.2">
      <c r="A16" s="21"/>
      <c r="B16" s="24" t="s">
        <v>44</v>
      </c>
      <c r="C16" s="90" t="s">
        <v>329</v>
      </c>
      <c r="D16" s="90"/>
      <c r="E16" s="90"/>
      <c r="F16" s="90"/>
      <c r="G16" s="90"/>
      <c r="H16" s="90"/>
      <c r="I16" s="90" t="s">
        <v>330</v>
      </c>
      <c r="J16" s="90"/>
      <c r="K16" s="90"/>
      <c r="L16" s="90" t="s">
        <v>331</v>
      </c>
      <c r="M16" s="90"/>
      <c r="N16" s="90"/>
      <c r="O16" s="90"/>
      <c r="P16" s="25" t="s">
        <v>323</v>
      </c>
      <c r="Q16" s="25" t="s">
        <v>77</v>
      </c>
      <c r="R16" s="27">
        <v>12</v>
      </c>
      <c r="S16" s="27">
        <v>12</v>
      </c>
      <c r="T16" s="27">
        <v>8</v>
      </c>
      <c r="U16" s="46">
        <f>70</f>
        <v>70</v>
      </c>
    </row>
    <row r="17" spans="1:22" ht="91.5" customHeight="1" x14ac:dyDescent="0.2">
      <c r="A17" s="21"/>
      <c r="B17" s="24" t="s">
        <v>44</v>
      </c>
      <c r="C17" s="90" t="s">
        <v>332</v>
      </c>
      <c r="D17" s="90"/>
      <c r="E17" s="90"/>
      <c r="F17" s="90"/>
      <c r="G17" s="90"/>
      <c r="H17" s="90"/>
      <c r="I17" s="90" t="s">
        <v>333</v>
      </c>
      <c r="J17" s="90"/>
      <c r="K17" s="90"/>
      <c r="L17" s="90" t="s">
        <v>334</v>
      </c>
      <c r="M17" s="90"/>
      <c r="N17" s="90"/>
      <c r="O17" s="90"/>
      <c r="P17" s="25" t="s">
        <v>335</v>
      </c>
      <c r="Q17" s="25" t="s">
        <v>187</v>
      </c>
      <c r="R17" s="27">
        <v>8</v>
      </c>
      <c r="S17" s="27">
        <v>8</v>
      </c>
      <c r="T17" s="27">
        <v>8.1999999999999993</v>
      </c>
      <c r="U17" s="46">
        <f>103</f>
        <v>103</v>
      </c>
    </row>
    <row r="18" spans="1:22" ht="75" customHeight="1" thickBot="1" x14ac:dyDescent="0.25">
      <c r="A18" s="21"/>
      <c r="B18" s="24" t="s">
        <v>44</v>
      </c>
      <c r="C18" s="90" t="s">
        <v>336</v>
      </c>
      <c r="D18" s="90"/>
      <c r="E18" s="90"/>
      <c r="F18" s="90"/>
      <c r="G18" s="90"/>
      <c r="H18" s="90"/>
      <c r="I18" s="90" t="s">
        <v>337</v>
      </c>
      <c r="J18" s="90"/>
      <c r="K18" s="90"/>
      <c r="L18" s="90" t="s">
        <v>338</v>
      </c>
      <c r="M18" s="90"/>
      <c r="N18" s="90"/>
      <c r="O18" s="90"/>
      <c r="P18" s="25" t="s">
        <v>42</v>
      </c>
      <c r="Q18" s="25" t="s">
        <v>339</v>
      </c>
      <c r="R18" s="25">
        <v>100</v>
      </c>
      <c r="S18" s="25">
        <v>100</v>
      </c>
      <c r="T18" s="25">
        <v>99.6</v>
      </c>
      <c r="U18" s="46">
        <f>99.6</f>
        <v>99.6</v>
      </c>
    </row>
    <row r="19" spans="1:22" ht="14.25" customHeight="1" thickTop="1" thickBot="1" x14ac:dyDescent="0.25">
      <c r="B19" s="4" t="s">
        <v>124</v>
      </c>
      <c r="C19" s="5"/>
      <c r="D19" s="5"/>
      <c r="E19" s="5"/>
      <c r="F19" s="5"/>
      <c r="G19" s="5"/>
      <c r="H19" s="6"/>
      <c r="I19" s="6"/>
      <c r="J19" s="6"/>
      <c r="K19" s="6"/>
      <c r="L19" s="6"/>
      <c r="M19" s="6"/>
      <c r="N19" s="6"/>
      <c r="O19" s="6"/>
      <c r="P19" s="6"/>
      <c r="Q19" s="6"/>
      <c r="R19" s="6"/>
      <c r="S19" s="6"/>
      <c r="T19" s="6"/>
      <c r="U19" s="47"/>
      <c r="V19" s="28"/>
    </row>
    <row r="20" spans="1:22" ht="26.25" customHeight="1" thickTop="1" x14ac:dyDescent="0.2">
      <c r="B20" s="29"/>
      <c r="C20" s="30"/>
      <c r="D20" s="30"/>
      <c r="E20" s="30"/>
      <c r="F20" s="30"/>
      <c r="G20" s="30"/>
      <c r="H20" s="31"/>
      <c r="I20" s="31"/>
      <c r="J20" s="31"/>
      <c r="K20" s="31"/>
      <c r="L20" s="31"/>
      <c r="M20" s="31"/>
      <c r="N20" s="31"/>
      <c r="O20" s="31"/>
      <c r="P20" s="31"/>
      <c r="Q20" s="31"/>
      <c r="R20" s="32"/>
      <c r="S20" s="33" t="s">
        <v>33</v>
      </c>
      <c r="T20" s="33" t="s">
        <v>125</v>
      </c>
      <c r="U20" s="48" t="s">
        <v>126</v>
      </c>
    </row>
    <row r="21" spans="1:22" ht="26.25" customHeight="1" thickBot="1" x14ac:dyDescent="0.25">
      <c r="B21" s="34"/>
      <c r="C21" s="35"/>
      <c r="D21" s="35"/>
      <c r="E21" s="35"/>
      <c r="F21" s="35"/>
      <c r="G21" s="35"/>
      <c r="H21" s="36"/>
      <c r="I21" s="36"/>
      <c r="J21" s="36"/>
      <c r="K21" s="36"/>
      <c r="L21" s="36"/>
      <c r="M21" s="36"/>
      <c r="N21" s="36"/>
      <c r="O21" s="36"/>
      <c r="P21" s="36"/>
      <c r="Q21" s="36"/>
      <c r="R21" s="36"/>
      <c r="S21" s="37" t="s">
        <v>127</v>
      </c>
      <c r="T21" s="38" t="s">
        <v>127</v>
      </c>
      <c r="U21" s="49" t="s">
        <v>128</v>
      </c>
    </row>
    <row r="22" spans="1:22" ht="13.5" customHeight="1" thickBot="1" x14ac:dyDescent="0.25">
      <c r="B22" s="91" t="s">
        <v>129</v>
      </c>
      <c r="C22" s="92"/>
      <c r="D22" s="92"/>
      <c r="E22" s="39"/>
      <c r="F22" s="39"/>
      <c r="G22" s="39"/>
      <c r="H22" s="40"/>
      <c r="I22" s="40"/>
      <c r="J22" s="40"/>
      <c r="K22" s="40"/>
      <c r="L22" s="40"/>
      <c r="M22" s="40"/>
      <c r="N22" s="40"/>
      <c r="O22" s="40"/>
      <c r="P22" s="41"/>
      <c r="Q22" s="41"/>
      <c r="R22" s="41"/>
      <c r="S22" s="52">
        <v>714.59187499999996</v>
      </c>
      <c r="T22" s="52">
        <v>704.52381844000001</v>
      </c>
      <c r="U22" s="53">
        <f>+IF(ISERR(T22/S22*100),"N/A",ROUND(T22/S22*100,1))</f>
        <v>98.6</v>
      </c>
    </row>
    <row r="23" spans="1:22" ht="13.5" customHeight="1" thickBot="1" x14ac:dyDescent="0.25">
      <c r="B23" s="93" t="s">
        <v>130</v>
      </c>
      <c r="C23" s="94"/>
      <c r="D23" s="94"/>
      <c r="E23" s="42"/>
      <c r="F23" s="42"/>
      <c r="G23" s="42"/>
      <c r="H23" s="43"/>
      <c r="I23" s="43"/>
      <c r="J23" s="43"/>
      <c r="K23" s="43"/>
      <c r="L23" s="43"/>
      <c r="M23" s="43"/>
      <c r="N23" s="43"/>
      <c r="O23" s="43"/>
      <c r="P23" s="44"/>
      <c r="Q23" s="44"/>
      <c r="R23" s="44"/>
      <c r="S23" s="52">
        <v>705.33612644000004</v>
      </c>
      <c r="T23" s="52">
        <v>704.52381844000001</v>
      </c>
      <c r="U23" s="53">
        <f>+IF(ISERR(T23/S23*100),"N/A",ROUND(T23/S23*100,1))</f>
        <v>99.9</v>
      </c>
    </row>
    <row r="24" spans="1:22" ht="14.85" customHeight="1" thickTop="1" thickBot="1" x14ac:dyDescent="0.25">
      <c r="B24" s="4" t="s">
        <v>131</v>
      </c>
      <c r="C24" s="5"/>
      <c r="D24" s="5"/>
      <c r="E24" s="5"/>
      <c r="F24" s="5"/>
      <c r="G24" s="5"/>
      <c r="H24" s="6"/>
      <c r="I24" s="6"/>
      <c r="J24" s="6"/>
      <c r="K24" s="6"/>
      <c r="L24" s="6"/>
      <c r="M24" s="6"/>
      <c r="N24" s="6"/>
      <c r="O24" s="6"/>
      <c r="P24" s="6"/>
      <c r="Q24" s="6"/>
      <c r="R24" s="6"/>
      <c r="S24" s="6"/>
      <c r="T24" s="6"/>
      <c r="U24" s="47"/>
    </row>
    <row r="25" spans="1:22" ht="44.25" customHeight="1" thickTop="1" x14ac:dyDescent="0.2">
      <c r="B25" s="95" t="s">
        <v>132</v>
      </c>
      <c r="C25" s="96"/>
      <c r="D25" s="96"/>
      <c r="E25" s="96"/>
      <c r="F25" s="96"/>
      <c r="G25" s="96"/>
      <c r="H25" s="96"/>
      <c r="I25" s="96"/>
      <c r="J25" s="96"/>
      <c r="K25" s="96"/>
      <c r="L25" s="96"/>
      <c r="M25" s="96"/>
      <c r="N25" s="96"/>
      <c r="O25" s="96"/>
      <c r="P25" s="96"/>
      <c r="Q25" s="96"/>
      <c r="R25" s="96"/>
      <c r="S25" s="96"/>
      <c r="T25" s="96"/>
      <c r="U25" s="104"/>
    </row>
    <row r="26" spans="1:22" ht="136.69999999999999" customHeight="1" x14ac:dyDescent="0.2">
      <c r="B26" s="98" t="s">
        <v>340</v>
      </c>
      <c r="C26" s="99"/>
      <c r="D26" s="99"/>
      <c r="E26" s="99"/>
      <c r="F26" s="99"/>
      <c r="G26" s="99"/>
      <c r="H26" s="99"/>
      <c r="I26" s="99"/>
      <c r="J26" s="99"/>
      <c r="K26" s="99"/>
      <c r="L26" s="99"/>
      <c r="M26" s="99"/>
      <c r="N26" s="99"/>
      <c r="O26" s="99"/>
      <c r="P26" s="99"/>
      <c r="Q26" s="99"/>
      <c r="R26" s="99"/>
      <c r="S26" s="99"/>
      <c r="T26" s="99"/>
      <c r="U26" s="105"/>
    </row>
    <row r="27" spans="1:22" ht="279" customHeight="1" x14ac:dyDescent="0.2">
      <c r="B27" s="98" t="s">
        <v>341</v>
      </c>
      <c r="C27" s="99"/>
      <c r="D27" s="99"/>
      <c r="E27" s="99"/>
      <c r="F27" s="99"/>
      <c r="G27" s="99"/>
      <c r="H27" s="99"/>
      <c r="I27" s="99"/>
      <c r="J27" s="99"/>
      <c r="K27" s="99"/>
      <c r="L27" s="99"/>
      <c r="M27" s="99"/>
      <c r="N27" s="99"/>
      <c r="O27" s="99"/>
      <c r="P27" s="99"/>
      <c r="Q27" s="99"/>
      <c r="R27" s="99"/>
      <c r="S27" s="99"/>
      <c r="T27" s="99"/>
      <c r="U27" s="105"/>
    </row>
    <row r="28" spans="1:22" ht="90.75" customHeight="1" x14ac:dyDescent="0.2">
      <c r="B28" s="98" t="s">
        <v>342</v>
      </c>
      <c r="C28" s="99"/>
      <c r="D28" s="99"/>
      <c r="E28" s="99"/>
      <c r="F28" s="99"/>
      <c r="G28" s="99"/>
      <c r="H28" s="99"/>
      <c r="I28" s="99"/>
      <c r="J28" s="99"/>
      <c r="K28" s="99"/>
      <c r="L28" s="99"/>
      <c r="M28" s="99"/>
      <c r="N28" s="99"/>
      <c r="O28" s="99"/>
      <c r="P28" s="99"/>
      <c r="Q28" s="99"/>
      <c r="R28" s="99"/>
      <c r="S28" s="99"/>
      <c r="T28" s="99"/>
      <c r="U28" s="105"/>
    </row>
    <row r="29" spans="1:22" ht="69" customHeight="1" x14ac:dyDescent="0.2">
      <c r="B29" s="98" t="s">
        <v>343</v>
      </c>
      <c r="C29" s="99"/>
      <c r="D29" s="99"/>
      <c r="E29" s="99"/>
      <c r="F29" s="99"/>
      <c r="G29" s="99"/>
      <c r="H29" s="99"/>
      <c r="I29" s="99"/>
      <c r="J29" s="99"/>
      <c r="K29" s="99"/>
      <c r="L29" s="99"/>
      <c r="M29" s="99"/>
      <c r="N29" s="99"/>
      <c r="O29" s="99"/>
      <c r="P29" s="99"/>
      <c r="Q29" s="99"/>
      <c r="R29" s="99"/>
      <c r="S29" s="99"/>
      <c r="T29" s="99"/>
      <c r="U29" s="105"/>
    </row>
    <row r="30" spans="1:22" ht="75.75" customHeight="1" x14ac:dyDescent="0.2">
      <c r="B30" s="98" t="s">
        <v>344</v>
      </c>
      <c r="C30" s="99"/>
      <c r="D30" s="99"/>
      <c r="E30" s="99"/>
      <c r="F30" s="99"/>
      <c r="G30" s="99"/>
      <c r="H30" s="99"/>
      <c r="I30" s="99"/>
      <c r="J30" s="99"/>
      <c r="K30" s="99"/>
      <c r="L30" s="99"/>
      <c r="M30" s="99"/>
      <c r="N30" s="99"/>
      <c r="O30" s="99"/>
      <c r="P30" s="99"/>
      <c r="Q30" s="99"/>
      <c r="R30" s="99"/>
      <c r="S30" s="99"/>
      <c r="T30" s="99"/>
      <c r="U30" s="105"/>
    </row>
    <row r="31" spans="1:22" ht="49.5" customHeight="1" x14ac:dyDescent="0.2">
      <c r="B31" s="98" t="s">
        <v>345</v>
      </c>
      <c r="C31" s="99"/>
      <c r="D31" s="99"/>
      <c r="E31" s="99"/>
      <c r="F31" s="99"/>
      <c r="G31" s="99"/>
      <c r="H31" s="99"/>
      <c r="I31" s="99"/>
      <c r="J31" s="99"/>
      <c r="K31" s="99"/>
      <c r="L31" s="99"/>
      <c r="M31" s="99"/>
      <c r="N31" s="99"/>
      <c r="O31" s="99"/>
      <c r="P31" s="99"/>
      <c r="Q31" s="99"/>
      <c r="R31" s="99"/>
      <c r="S31" s="99"/>
      <c r="T31" s="99"/>
      <c r="U31" s="105"/>
    </row>
    <row r="32" spans="1:22" ht="65.25" customHeight="1" x14ac:dyDescent="0.2">
      <c r="B32" s="98" t="s">
        <v>346</v>
      </c>
      <c r="C32" s="99"/>
      <c r="D32" s="99"/>
      <c r="E32" s="99"/>
      <c r="F32" s="99"/>
      <c r="G32" s="99"/>
      <c r="H32" s="99"/>
      <c r="I32" s="99"/>
      <c r="J32" s="99"/>
      <c r="K32" s="99"/>
      <c r="L32" s="99"/>
      <c r="M32" s="99"/>
      <c r="N32" s="99"/>
      <c r="O32" s="99"/>
      <c r="P32" s="99"/>
      <c r="Q32" s="99"/>
      <c r="R32" s="99"/>
      <c r="S32" s="99"/>
      <c r="T32" s="99"/>
      <c r="U32" s="105"/>
    </row>
    <row r="33" spans="2:21" ht="49.5" customHeight="1" thickBot="1" x14ac:dyDescent="0.25">
      <c r="B33" s="101" t="s">
        <v>347</v>
      </c>
      <c r="C33" s="102"/>
      <c r="D33" s="102"/>
      <c r="E33" s="102"/>
      <c r="F33" s="102"/>
      <c r="G33" s="102"/>
      <c r="H33" s="102"/>
      <c r="I33" s="102"/>
      <c r="J33" s="102"/>
      <c r="K33" s="102"/>
      <c r="L33" s="102"/>
      <c r="M33" s="102"/>
      <c r="N33" s="102"/>
      <c r="O33" s="102"/>
      <c r="P33" s="102"/>
      <c r="Q33" s="102"/>
      <c r="R33" s="102"/>
      <c r="S33" s="102"/>
      <c r="T33" s="102"/>
      <c r="U33" s="106"/>
    </row>
    <row r="34" spans="2:21" x14ac:dyDescent="0.2">
      <c r="U34" s="50"/>
    </row>
    <row r="35" spans="2:21" x14ac:dyDescent="0.2">
      <c r="U35" s="50"/>
    </row>
    <row r="36" spans="2:21" x14ac:dyDescent="0.2">
      <c r="U36" s="50"/>
    </row>
    <row r="37" spans="2:21" x14ac:dyDescent="0.2">
      <c r="U37" s="50"/>
    </row>
  </sheetData>
  <mergeCells count="56">
    <mergeCell ref="B32:U32"/>
    <mergeCell ref="B33:U33"/>
    <mergeCell ref="B26:U26"/>
    <mergeCell ref="B27:U27"/>
    <mergeCell ref="B28:U28"/>
    <mergeCell ref="B29:U29"/>
    <mergeCell ref="B30:U30"/>
    <mergeCell ref="B31:U31"/>
    <mergeCell ref="B25:U25"/>
    <mergeCell ref="C16:H16"/>
    <mergeCell ref="I16:K16"/>
    <mergeCell ref="L16:O16"/>
    <mergeCell ref="C17:H17"/>
    <mergeCell ref="I17:K17"/>
    <mergeCell ref="L17:O17"/>
    <mergeCell ref="C18:H18"/>
    <mergeCell ref="I18:K18"/>
    <mergeCell ref="L18:O18"/>
    <mergeCell ref="B22:D22"/>
    <mergeCell ref="B23:D23"/>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3"/>
  <sheetViews>
    <sheetView view="pageBreakPreview" zoomScale="80" zoomScaleNormal="80" zoomScaleSheetLayoutView="80" workbookViewId="0">
      <selection activeCell="R13" sqref="R13"/>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6" t="s">
        <v>0</v>
      </c>
      <c r="C1" s="56"/>
      <c r="D1" s="56"/>
      <c r="E1" s="56"/>
      <c r="F1" s="56"/>
      <c r="G1" s="56"/>
      <c r="H1" s="56"/>
      <c r="I1" s="56"/>
      <c r="J1" s="56"/>
      <c r="K1" s="56"/>
      <c r="L1" s="56"/>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77.25" customHeight="1" thickTop="1" x14ac:dyDescent="0.2">
      <c r="B4" s="8" t="s">
        <v>6</v>
      </c>
      <c r="C4" s="9" t="s">
        <v>348</v>
      </c>
      <c r="D4" s="77" t="s">
        <v>349</v>
      </c>
      <c r="E4" s="77"/>
      <c r="F4" s="77"/>
      <c r="G4" s="77"/>
      <c r="H4" s="77"/>
      <c r="I4" s="10"/>
      <c r="J4" s="11" t="s">
        <v>9</v>
      </c>
      <c r="K4" s="12" t="s">
        <v>10</v>
      </c>
      <c r="L4" s="78" t="s">
        <v>11</v>
      </c>
      <c r="M4" s="78"/>
      <c r="N4" s="78"/>
      <c r="O4" s="78"/>
      <c r="P4" s="11" t="s">
        <v>12</v>
      </c>
      <c r="Q4" s="78" t="s">
        <v>350</v>
      </c>
      <c r="R4" s="78"/>
      <c r="S4" s="11" t="s">
        <v>14</v>
      </c>
      <c r="T4" s="78"/>
      <c r="U4" s="79"/>
    </row>
    <row r="5" spans="1:21" ht="15.75" customHeight="1" x14ac:dyDescent="0.2">
      <c r="B5" s="80" t="s">
        <v>15</v>
      </c>
      <c r="C5" s="81"/>
      <c r="D5" s="81"/>
      <c r="E5" s="81"/>
      <c r="F5" s="81"/>
      <c r="G5" s="81"/>
      <c r="H5" s="81"/>
      <c r="I5" s="81"/>
      <c r="J5" s="81"/>
      <c r="K5" s="81"/>
      <c r="L5" s="81"/>
      <c r="M5" s="81"/>
      <c r="N5" s="81"/>
      <c r="O5" s="81"/>
      <c r="P5" s="81"/>
      <c r="Q5" s="81"/>
      <c r="R5" s="81"/>
      <c r="S5" s="81"/>
      <c r="T5" s="81"/>
      <c r="U5" s="82"/>
    </row>
    <row r="6" spans="1:21" ht="47.25" customHeight="1" thickBot="1" x14ac:dyDescent="0.25">
      <c r="B6" s="13" t="s">
        <v>16</v>
      </c>
      <c r="C6" s="88" t="s">
        <v>17</v>
      </c>
      <c r="D6" s="88"/>
      <c r="E6" s="88"/>
      <c r="F6" s="88"/>
      <c r="G6" s="88"/>
      <c r="H6" s="14"/>
      <c r="I6" s="14"/>
      <c r="J6" s="14" t="s">
        <v>18</v>
      </c>
      <c r="K6" s="88" t="s">
        <v>19</v>
      </c>
      <c r="L6" s="88"/>
      <c r="M6" s="88"/>
      <c r="N6" s="15"/>
      <c r="O6" s="16" t="s">
        <v>20</v>
      </c>
      <c r="P6" s="88" t="s">
        <v>21</v>
      </c>
      <c r="Q6" s="88"/>
      <c r="R6" s="17"/>
      <c r="S6" s="16" t="s">
        <v>22</v>
      </c>
      <c r="T6" s="88" t="s">
        <v>309</v>
      </c>
      <c r="U6" s="89"/>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0" t="s">
        <v>25</v>
      </c>
      <c r="C8" s="63" t="s">
        <v>26</v>
      </c>
      <c r="D8" s="63"/>
      <c r="E8" s="63"/>
      <c r="F8" s="63"/>
      <c r="G8" s="63"/>
      <c r="H8" s="64"/>
      <c r="I8" s="69" t="s">
        <v>27</v>
      </c>
      <c r="J8" s="70"/>
      <c r="K8" s="70"/>
      <c r="L8" s="70"/>
      <c r="M8" s="70"/>
      <c r="N8" s="70"/>
      <c r="O8" s="70"/>
      <c r="P8" s="70"/>
      <c r="Q8" s="70"/>
      <c r="R8" s="70"/>
      <c r="S8" s="71"/>
      <c r="T8" s="72" t="s">
        <v>28</v>
      </c>
      <c r="U8" s="73"/>
    </row>
    <row r="9" spans="1:21" ht="19.5" customHeight="1" x14ac:dyDescent="0.2">
      <c r="B9" s="61"/>
      <c r="C9" s="65"/>
      <c r="D9" s="65"/>
      <c r="E9" s="65"/>
      <c r="F9" s="65"/>
      <c r="G9" s="65"/>
      <c r="H9" s="66"/>
      <c r="I9" s="74" t="s">
        <v>29</v>
      </c>
      <c r="J9" s="63"/>
      <c r="K9" s="63"/>
      <c r="L9" s="63" t="s">
        <v>30</v>
      </c>
      <c r="M9" s="63"/>
      <c r="N9" s="63"/>
      <c r="O9" s="63"/>
      <c r="P9" s="63" t="s">
        <v>31</v>
      </c>
      <c r="Q9" s="63" t="s">
        <v>32</v>
      </c>
      <c r="R9" s="83" t="s">
        <v>33</v>
      </c>
      <c r="S9" s="84"/>
      <c r="T9" s="63" t="s">
        <v>34</v>
      </c>
      <c r="U9" s="85" t="s">
        <v>35</v>
      </c>
    </row>
    <row r="10" spans="1:21" ht="26.25" customHeight="1" thickBot="1" x14ac:dyDescent="0.25">
      <c r="B10" s="62"/>
      <c r="C10" s="67"/>
      <c r="D10" s="67"/>
      <c r="E10" s="67"/>
      <c r="F10" s="67"/>
      <c r="G10" s="67"/>
      <c r="H10" s="68"/>
      <c r="I10" s="75"/>
      <c r="J10" s="76"/>
      <c r="K10" s="76"/>
      <c r="L10" s="76"/>
      <c r="M10" s="76"/>
      <c r="N10" s="76"/>
      <c r="O10" s="76"/>
      <c r="P10" s="76"/>
      <c r="Q10" s="76"/>
      <c r="R10" s="19" t="s">
        <v>36</v>
      </c>
      <c r="S10" s="20" t="s">
        <v>37</v>
      </c>
      <c r="T10" s="76"/>
      <c r="U10" s="86"/>
    </row>
    <row r="11" spans="1:21" ht="105.75" customHeight="1" thickTop="1" thickBot="1" x14ac:dyDescent="0.25">
      <c r="A11" s="21"/>
      <c r="B11" s="22" t="s">
        <v>38</v>
      </c>
      <c r="C11" s="87" t="s">
        <v>351</v>
      </c>
      <c r="D11" s="87"/>
      <c r="E11" s="87"/>
      <c r="F11" s="87"/>
      <c r="G11" s="87"/>
      <c r="H11" s="87"/>
      <c r="I11" s="87" t="s">
        <v>352</v>
      </c>
      <c r="J11" s="87"/>
      <c r="K11" s="87"/>
      <c r="L11" s="87" t="s">
        <v>353</v>
      </c>
      <c r="M11" s="87"/>
      <c r="N11" s="87"/>
      <c r="O11" s="87"/>
      <c r="P11" s="23" t="s">
        <v>42</v>
      </c>
      <c r="Q11" s="23" t="s">
        <v>354</v>
      </c>
      <c r="R11" s="23">
        <v>0.35</v>
      </c>
      <c r="S11" s="23">
        <v>0.35</v>
      </c>
      <c r="T11" s="23">
        <v>0.35</v>
      </c>
      <c r="U11" s="45">
        <f>100</f>
        <v>100</v>
      </c>
    </row>
    <row r="12" spans="1:21" ht="302.25" customHeight="1" thickTop="1" thickBot="1" x14ac:dyDescent="0.25">
      <c r="A12" s="21"/>
      <c r="B12" s="22" t="s">
        <v>47</v>
      </c>
      <c r="C12" s="87" t="s">
        <v>355</v>
      </c>
      <c r="D12" s="87"/>
      <c r="E12" s="87"/>
      <c r="F12" s="87"/>
      <c r="G12" s="87"/>
      <c r="H12" s="87"/>
      <c r="I12" s="87" t="s">
        <v>356</v>
      </c>
      <c r="J12" s="87"/>
      <c r="K12" s="87"/>
      <c r="L12" s="87" t="s">
        <v>357</v>
      </c>
      <c r="M12" s="87"/>
      <c r="N12" s="87"/>
      <c r="O12" s="87"/>
      <c r="P12" s="23" t="s">
        <v>42</v>
      </c>
      <c r="Q12" s="23" t="s">
        <v>358</v>
      </c>
      <c r="R12" s="23">
        <v>84.62</v>
      </c>
      <c r="S12" s="23">
        <v>84.62</v>
      </c>
      <c r="T12" s="23">
        <v>93.1</v>
      </c>
      <c r="U12" s="45">
        <f>110</f>
        <v>110</v>
      </c>
    </row>
    <row r="13" spans="1:21" ht="84.75" customHeight="1" thickTop="1" x14ac:dyDescent="0.2">
      <c r="A13" s="21"/>
      <c r="B13" s="22" t="s">
        <v>53</v>
      </c>
      <c r="C13" s="87" t="s">
        <v>359</v>
      </c>
      <c r="D13" s="87"/>
      <c r="E13" s="87"/>
      <c r="F13" s="87"/>
      <c r="G13" s="87"/>
      <c r="H13" s="87"/>
      <c r="I13" s="87" t="s">
        <v>360</v>
      </c>
      <c r="J13" s="87"/>
      <c r="K13" s="87"/>
      <c r="L13" s="87" t="s">
        <v>361</v>
      </c>
      <c r="M13" s="87"/>
      <c r="N13" s="87"/>
      <c r="O13" s="87"/>
      <c r="P13" s="23" t="s">
        <v>42</v>
      </c>
      <c r="Q13" s="23" t="s">
        <v>362</v>
      </c>
      <c r="R13" s="23">
        <v>85</v>
      </c>
      <c r="S13" s="23">
        <v>85</v>
      </c>
      <c r="T13" s="23">
        <v>461.8</v>
      </c>
      <c r="U13" s="45">
        <f>543.3</f>
        <v>543.29999999999995</v>
      </c>
    </row>
    <row r="14" spans="1:21" ht="116.25" customHeight="1" x14ac:dyDescent="0.2">
      <c r="A14" s="21"/>
      <c r="B14" s="24" t="s">
        <v>44</v>
      </c>
      <c r="C14" s="90" t="s">
        <v>363</v>
      </c>
      <c r="D14" s="90"/>
      <c r="E14" s="90"/>
      <c r="F14" s="90"/>
      <c r="G14" s="90"/>
      <c r="H14" s="90"/>
      <c r="I14" s="90" t="s">
        <v>364</v>
      </c>
      <c r="J14" s="90"/>
      <c r="K14" s="90"/>
      <c r="L14" s="90" t="s">
        <v>365</v>
      </c>
      <c r="M14" s="90"/>
      <c r="N14" s="90"/>
      <c r="O14" s="90"/>
      <c r="P14" s="25" t="s">
        <v>42</v>
      </c>
      <c r="Q14" s="25" t="s">
        <v>270</v>
      </c>
      <c r="R14" s="25">
        <v>83.33</v>
      </c>
      <c r="S14" s="25">
        <v>83.33</v>
      </c>
      <c r="T14" s="25">
        <v>46.7</v>
      </c>
      <c r="U14" s="46">
        <f>56</f>
        <v>56</v>
      </c>
    </row>
    <row r="15" spans="1:21" ht="100.5" customHeight="1" x14ac:dyDescent="0.2">
      <c r="A15" s="21"/>
      <c r="B15" s="24" t="s">
        <v>44</v>
      </c>
      <c r="C15" s="90" t="s">
        <v>366</v>
      </c>
      <c r="D15" s="90"/>
      <c r="E15" s="90"/>
      <c r="F15" s="90"/>
      <c r="G15" s="90"/>
      <c r="H15" s="90"/>
      <c r="I15" s="90" t="s">
        <v>367</v>
      </c>
      <c r="J15" s="90"/>
      <c r="K15" s="90"/>
      <c r="L15" s="90" t="s">
        <v>368</v>
      </c>
      <c r="M15" s="90"/>
      <c r="N15" s="90"/>
      <c r="O15" s="90"/>
      <c r="P15" s="25" t="s">
        <v>42</v>
      </c>
      <c r="Q15" s="25" t="s">
        <v>270</v>
      </c>
      <c r="R15" s="25">
        <v>83.33</v>
      </c>
      <c r="S15" s="25">
        <v>83.33</v>
      </c>
      <c r="T15" s="25">
        <v>61.5</v>
      </c>
      <c r="U15" s="46">
        <f>74</f>
        <v>74</v>
      </c>
    </row>
    <row r="16" spans="1:21" ht="75" customHeight="1" x14ac:dyDescent="0.2">
      <c r="A16" s="21"/>
      <c r="B16" s="24" t="s">
        <v>44</v>
      </c>
      <c r="C16" s="90" t="s">
        <v>369</v>
      </c>
      <c r="D16" s="90"/>
      <c r="E16" s="90"/>
      <c r="F16" s="90"/>
      <c r="G16" s="90"/>
      <c r="H16" s="90"/>
      <c r="I16" s="90" t="s">
        <v>370</v>
      </c>
      <c r="J16" s="90"/>
      <c r="K16" s="90"/>
      <c r="L16" s="90" t="s">
        <v>371</v>
      </c>
      <c r="M16" s="90"/>
      <c r="N16" s="90"/>
      <c r="O16" s="90"/>
      <c r="P16" s="25" t="s">
        <v>42</v>
      </c>
      <c r="Q16" s="25" t="s">
        <v>372</v>
      </c>
      <c r="R16" s="25">
        <v>88.89</v>
      </c>
      <c r="S16" s="25">
        <v>88.89</v>
      </c>
      <c r="T16" s="25">
        <v>90</v>
      </c>
      <c r="U16" s="46">
        <f>101</f>
        <v>101</v>
      </c>
    </row>
    <row r="17" spans="1:22" ht="94.5" customHeight="1" thickBot="1" x14ac:dyDescent="0.25">
      <c r="A17" s="21"/>
      <c r="B17" s="24" t="s">
        <v>44</v>
      </c>
      <c r="C17" s="90" t="s">
        <v>373</v>
      </c>
      <c r="D17" s="90"/>
      <c r="E17" s="90"/>
      <c r="F17" s="90"/>
      <c r="G17" s="90"/>
      <c r="H17" s="90"/>
      <c r="I17" s="90" t="s">
        <v>374</v>
      </c>
      <c r="J17" s="90"/>
      <c r="K17" s="90"/>
      <c r="L17" s="90" t="s">
        <v>375</v>
      </c>
      <c r="M17" s="90"/>
      <c r="N17" s="90"/>
      <c r="O17" s="90"/>
      <c r="P17" s="25" t="s">
        <v>42</v>
      </c>
      <c r="Q17" s="25" t="s">
        <v>43</v>
      </c>
      <c r="R17" s="25">
        <v>100</v>
      </c>
      <c r="S17" s="25">
        <v>100</v>
      </c>
      <c r="T17" s="25">
        <v>0</v>
      </c>
      <c r="U17" s="46">
        <f>0</f>
        <v>0</v>
      </c>
    </row>
    <row r="18" spans="1:22" ht="102.75" customHeight="1" thickTop="1" x14ac:dyDescent="0.2">
      <c r="A18" s="21"/>
      <c r="B18" s="22" t="s">
        <v>64</v>
      </c>
      <c r="C18" s="87" t="s">
        <v>376</v>
      </c>
      <c r="D18" s="87"/>
      <c r="E18" s="87"/>
      <c r="F18" s="87"/>
      <c r="G18" s="87"/>
      <c r="H18" s="87"/>
      <c r="I18" s="87" t="s">
        <v>377</v>
      </c>
      <c r="J18" s="87"/>
      <c r="K18" s="87"/>
      <c r="L18" s="87" t="s">
        <v>378</v>
      </c>
      <c r="M18" s="87"/>
      <c r="N18" s="87"/>
      <c r="O18" s="87"/>
      <c r="P18" s="23" t="s">
        <v>42</v>
      </c>
      <c r="Q18" s="23" t="s">
        <v>61</v>
      </c>
      <c r="R18" s="23">
        <v>40</v>
      </c>
      <c r="S18" s="23">
        <v>40</v>
      </c>
      <c r="T18" s="23">
        <v>85.71</v>
      </c>
      <c r="U18" s="45">
        <f>214.3</f>
        <v>214.3</v>
      </c>
    </row>
    <row r="19" spans="1:22" ht="102" customHeight="1" x14ac:dyDescent="0.2">
      <c r="A19" s="21"/>
      <c r="B19" s="24" t="s">
        <v>44</v>
      </c>
      <c r="C19" s="90" t="s">
        <v>379</v>
      </c>
      <c r="D19" s="90"/>
      <c r="E19" s="90"/>
      <c r="F19" s="90"/>
      <c r="G19" s="90"/>
      <c r="H19" s="90"/>
      <c r="I19" s="90" t="s">
        <v>380</v>
      </c>
      <c r="J19" s="90"/>
      <c r="K19" s="90"/>
      <c r="L19" s="90" t="s">
        <v>381</v>
      </c>
      <c r="M19" s="90"/>
      <c r="N19" s="90"/>
      <c r="O19" s="90"/>
      <c r="P19" s="25" t="s">
        <v>42</v>
      </c>
      <c r="Q19" s="25" t="s">
        <v>61</v>
      </c>
      <c r="R19" s="25">
        <v>100</v>
      </c>
      <c r="S19" s="25">
        <v>100</v>
      </c>
      <c r="T19" s="25">
        <v>88.64</v>
      </c>
      <c r="U19" s="46">
        <f>88.64</f>
        <v>88.64</v>
      </c>
    </row>
    <row r="20" spans="1:22" ht="108" customHeight="1" x14ac:dyDescent="0.2">
      <c r="A20" s="21"/>
      <c r="B20" s="24" t="s">
        <v>44</v>
      </c>
      <c r="C20" s="90" t="s">
        <v>382</v>
      </c>
      <c r="D20" s="90"/>
      <c r="E20" s="90"/>
      <c r="F20" s="90"/>
      <c r="G20" s="90"/>
      <c r="H20" s="90"/>
      <c r="I20" s="90" t="s">
        <v>383</v>
      </c>
      <c r="J20" s="90"/>
      <c r="K20" s="90"/>
      <c r="L20" s="90" t="s">
        <v>384</v>
      </c>
      <c r="M20" s="90"/>
      <c r="N20" s="90"/>
      <c r="O20" s="90"/>
      <c r="P20" s="25" t="s">
        <v>42</v>
      </c>
      <c r="Q20" s="25" t="s">
        <v>61</v>
      </c>
      <c r="R20" s="25">
        <v>100</v>
      </c>
      <c r="S20" s="25">
        <v>100</v>
      </c>
      <c r="T20" s="25">
        <v>100</v>
      </c>
      <c r="U20" s="46">
        <f>100</f>
        <v>100</v>
      </c>
    </row>
    <row r="21" spans="1:22" ht="132.75" customHeight="1" x14ac:dyDescent="0.2">
      <c r="A21" s="21"/>
      <c r="B21" s="24" t="s">
        <v>44</v>
      </c>
      <c r="C21" s="90" t="s">
        <v>385</v>
      </c>
      <c r="D21" s="90"/>
      <c r="E21" s="90"/>
      <c r="F21" s="90"/>
      <c r="G21" s="90"/>
      <c r="H21" s="90"/>
      <c r="I21" s="90" t="s">
        <v>386</v>
      </c>
      <c r="J21" s="90"/>
      <c r="K21" s="90"/>
      <c r="L21" s="90" t="s">
        <v>387</v>
      </c>
      <c r="M21" s="90"/>
      <c r="N21" s="90"/>
      <c r="O21" s="90"/>
      <c r="P21" s="25" t="s">
        <v>42</v>
      </c>
      <c r="Q21" s="25" t="s">
        <v>61</v>
      </c>
      <c r="R21" s="25">
        <v>100</v>
      </c>
      <c r="S21" s="25">
        <v>100</v>
      </c>
      <c r="T21" s="25">
        <v>75</v>
      </c>
      <c r="U21" s="46">
        <f>75</f>
        <v>75</v>
      </c>
    </row>
    <row r="22" spans="1:22" ht="75" customHeight="1" x14ac:dyDescent="0.2">
      <c r="A22" s="21"/>
      <c r="B22" s="24" t="s">
        <v>44</v>
      </c>
      <c r="C22" s="90" t="s">
        <v>388</v>
      </c>
      <c r="D22" s="90"/>
      <c r="E22" s="90"/>
      <c r="F22" s="90"/>
      <c r="G22" s="90"/>
      <c r="H22" s="90"/>
      <c r="I22" s="90" t="s">
        <v>389</v>
      </c>
      <c r="J22" s="90"/>
      <c r="K22" s="90"/>
      <c r="L22" s="90" t="s">
        <v>390</v>
      </c>
      <c r="M22" s="90"/>
      <c r="N22" s="90"/>
      <c r="O22" s="90"/>
      <c r="P22" s="25" t="s">
        <v>42</v>
      </c>
      <c r="Q22" s="25" t="s">
        <v>61</v>
      </c>
      <c r="R22" s="25">
        <v>100</v>
      </c>
      <c r="S22" s="25">
        <v>100</v>
      </c>
      <c r="T22" s="25">
        <v>100</v>
      </c>
      <c r="U22" s="46">
        <f>100</f>
        <v>100</v>
      </c>
    </row>
    <row r="23" spans="1:22" ht="75" customHeight="1" thickBot="1" x14ac:dyDescent="0.25">
      <c r="A23" s="21"/>
      <c r="B23" s="24" t="s">
        <v>44</v>
      </c>
      <c r="C23" s="90" t="s">
        <v>391</v>
      </c>
      <c r="D23" s="90"/>
      <c r="E23" s="90"/>
      <c r="F23" s="90"/>
      <c r="G23" s="90"/>
      <c r="H23" s="90"/>
      <c r="I23" s="90" t="s">
        <v>392</v>
      </c>
      <c r="J23" s="90"/>
      <c r="K23" s="90"/>
      <c r="L23" s="90" t="s">
        <v>393</v>
      </c>
      <c r="M23" s="90"/>
      <c r="N23" s="90"/>
      <c r="O23" s="90"/>
      <c r="P23" s="25" t="s">
        <v>42</v>
      </c>
      <c r="Q23" s="25" t="s">
        <v>61</v>
      </c>
      <c r="R23" s="25">
        <v>100</v>
      </c>
      <c r="S23" s="25">
        <v>100</v>
      </c>
      <c r="T23" s="25">
        <v>62.5</v>
      </c>
      <c r="U23" s="46">
        <f>62.5</f>
        <v>62.5</v>
      </c>
    </row>
    <row r="24" spans="1:22" ht="14.25" customHeight="1" thickTop="1" thickBot="1" x14ac:dyDescent="0.25">
      <c r="B24" s="4" t="s">
        <v>124</v>
      </c>
      <c r="C24" s="5"/>
      <c r="D24" s="5"/>
      <c r="E24" s="5"/>
      <c r="F24" s="5"/>
      <c r="G24" s="5"/>
      <c r="H24" s="6"/>
      <c r="I24" s="6"/>
      <c r="J24" s="6"/>
      <c r="K24" s="6"/>
      <c r="L24" s="6"/>
      <c r="M24" s="6"/>
      <c r="N24" s="6"/>
      <c r="O24" s="6"/>
      <c r="P24" s="6"/>
      <c r="Q24" s="6"/>
      <c r="R24" s="6"/>
      <c r="S24" s="6"/>
      <c r="T24" s="6"/>
      <c r="U24" s="47"/>
      <c r="V24" s="28"/>
    </row>
    <row r="25" spans="1:22" ht="26.25" customHeight="1" thickTop="1" x14ac:dyDescent="0.2">
      <c r="B25" s="29"/>
      <c r="C25" s="30"/>
      <c r="D25" s="30"/>
      <c r="E25" s="30"/>
      <c r="F25" s="30"/>
      <c r="G25" s="30"/>
      <c r="H25" s="31"/>
      <c r="I25" s="31"/>
      <c r="J25" s="31"/>
      <c r="K25" s="31"/>
      <c r="L25" s="31"/>
      <c r="M25" s="31"/>
      <c r="N25" s="31"/>
      <c r="O25" s="31"/>
      <c r="P25" s="31"/>
      <c r="Q25" s="31"/>
      <c r="R25" s="32"/>
      <c r="S25" s="33" t="s">
        <v>33</v>
      </c>
      <c r="T25" s="33" t="s">
        <v>125</v>
      </c>
      <c r="U25" s="48" t="s">
        <v>126</v>
      </c>
    </row>
    <row r="26" spans="1:22" ht="26.25" customHeight="1" thickBot="1" x14ac:dyDescent="0.25">
      <c r="B26" s="34"/>
      <c r="C26" s="35"/>
      <c r="D26" s="35"/>
      <c r="E26" s="35"/>
      <c r="F26" s="35"/>
      <c r="G26" s="35"/>
      <c r="H26" s="36"/>
      <c r="I26" s="36"/>
      <c r="J26" s="36"/>
      <c r="K26" s="36"/>
      <c r="L26" s="36"/>
      <c r="M26" s="36"/>
      <c r="N26" s="36"/>
      <c r="O26" s="36"/>
      <c r="P26" s="36"/>
      <c r="Q26" s="36"/>
      <c r="R26" s="36"/>
      <c r="S26" s="37" t="s">
        <v>127</v>
      </c>
      <c r="T26" s="38" t="s">
        <v>127</v>
      </c>
      <c r="U26" s="49" t="s">
        <v>128</v>
      </c>
    </row>
    <row r="27" spans="1:22" ht="13.5" customHeight="1" thickBot="1" x14ac:dyDescent="0.25">
      <c r="B27" s="91" t="s">
        <v>129</v>
      </c>
      <c r="C27" s="92"/>
      <c r="D27" s="92"/>
      <c r="E27" s="39"/>
      <c r="F27" s="39"/>
      <c r="G27" s="39"/>
      <c r="H27" s="40"/>
      <c r="I27" s="40"/>
      <c r="J27" s="40"/>
      <c r="K27" s="40"/>
      <c r="L27" s="40"/>
      <c r="M27" s="40"/>
      <c r="N27" s="40"/>
      <c r="O27" s="40"/>
      <c r="P27" s="41"/>
      <c r="Q27" s="41"/>
      <c r="R27" s="41"/>
      <c r="S27" s="52">
        <v>164.560159</v>
      </c>
      <c r="T27" s="52">
        <v>55.498401690000009</v>
      </c>
      <c r="U27" s="53">
        <f>+IF(ISERR(T27/S27*100),"N/A",ROUND(T27/S27*100,1))</f>
        <v>33.700000000000003</v>
      </c>
    </row>
    <row r="28" spans="1:22" ht="13.5" customHeight="1" thickBot="1" x14ac:dyDescent="0.25">
      <c r="B28" s="93" t="s">
        <v>130</v>
      </c>
      <c r="C28" s="94"/>
      <c r="D28" s="94"/>
      <c r="E28" s="42"/>
      <c r="F28" s="42"/>
      <c r="G28" s="42"/>
      <c r="H28" s="43"/>
      <c r="I28" s="43"/>
      <c r="J28" s="43"/>
      <c r="K28" s="43"/>
      <c r="L28" s="43"/>
      <c r="M28" s="43"/>
      <c r="N28" s="43"/>
      <c r="O28" s="43"/>
      <c r="P28" s="44"/>
      <c r="Q28" s="44"/>
      <c r="R28" s="44"/>
      <c r="S28" s="52">
        <v>55.498401689999987</v>
      </c>
      <c r="T28" s="52">
        <v>55.498401690000009</v>
      </c>
      <c r="U28" s="53">
        <f>+IF(ISERR(T28/S28*100),"N/A",ROUND(T28/S28*100,1))</f>
        <v>100</v>
      </c>
    </row>
    <row r="29" spans="1:22" ht="14.85" customHeight="1" thickTop="1" thickBot="1" x14ac:dyDescent="0.25">
      <c r="B29" s="4" t="s">
        <v>131</v>
      </c>
      <c r="C29" s="5"/>
      <c r="D29" s="5"/>
      <c r="E29" s="5"/>
      <c r="F29" s="5"/>
      <c r="G29" s="5"/>
      <c r="H29" s="6"/>
      <c r="I29" s="6"/>
      <c r="J29" s="6"/>
      <c r="K29" s="6"/>
      <c r="L29" s="6"/>
      <c r="M29" s="6"/>
      <c r="N29" s="6"/>
      <c r="O29" s="6"/>
      <c r="P29" s="6"/>
      <c r="Q29" s="6"/>
      <c r="R29" s="6"/>
      <c r="S29" s="6"/>
      <c r="T29" s="6"/>
      <c r="U29" s="47"/>
    </row>
    <row r="30" spans="1:22" ht="44.25" customHeight="1" thickTop="1" x14ac:dyDescent="0.2">
      <c r="B30" s="95" t="s">
        <v>132</v>
      </c>
      <c r="C30" s="96"/>
      <c r="D30" s="96"/>
      <c r="E30" s="96"/>
      <c r="F30" s="96"/>
      <c r="G30" s="96"/>
      <c r="H30" s="96"/>
      <c r="I30" s="96"/>
      <c r="J30" s="96"/>
      <c r="K30" s="96"/>
      <c r="L30" s="96"/>
      <c r="M30" s="96"/>
      <c r="N30" s="96"/>
      <c r="O30" s="96"/>
      <c r="P30" s="96"/>
      <c r="Q30" s="96"/>
      <c r="R30" s="96"/>
      <c r="S30" s="96"/>
      <c r="T30" s="96"/>
      <c r="U30" s="104"/>
    </row>
    <row r="31" spans="1:22" ht="66.75" customHeight="1" x14ac:dyDescent="0.2">
      <c r="B31" s="98" t="s">
        <v>394</v>
      </c>
      <c r="C31" s="99"/>
      <c r="D31" s="99"/>
      <c r="E31" s="99"/>
      <c r="F31" s="99"/>
      <c r="G31" s="99"/>
      <c r="H31" s="99"/>
      <c r="I31" s="99"/>
      <c r="J31" s="99"/>
      <c r="K31" s="99"/>
      <c r="L31" s="99"/>
      <c r="M31" s="99"/>
      <c r="N31" s="99"/>
      <c r="O31" s="99"/>
      <c r="P31" s="99"/>
      <c r="Q31" s="99"/>
      <c r="R31" s="99"/>
      <c r="S31" s="99"/>
      <c r="T31" s="99"/>
      <c r="U31" s="105"/>
    </row>
    <row r="32" spans="1:22" ht="67.5" customHeight="1" x14ac:dyDescent="0.2">
      <c r="B32" s="98" t="s">
        <v>395</v>
      </c>
      <c r="C32" s="99"/>
      <c r="D32" s="99"/>
      <c r="E32" s="99"/>
      <c r="F32" s="99"/>
      <c r="G32" s="99"/>
      <c r="H32" s="99"/>
      <c r="I32" s="99"/>
      <c r="J32" s="99"/>
      <c r="K32" s="99"/>
      <c r="L32" s="99"/>
      <c r="M32" s="99"/>
      <c r="N32" s="99"/>
      <c r="O32" s="99"/>
      <c r="P32" s="99"/>
      <c r="Q32" s="99"/>
      <c r="R32" s="99"/>
      <c r="S32" s="99"/>
      <c r="T32" s="99"/>
      <c r="U32" s="105"/>
    </row>
    <row r="33" spans="2:21" ht="241.5" customHeight="1" x14ac:dyDescent="0.2">
      <c r="B33" s="98" t="s">
        <v>396</v>
      </c>
      <c r="C33" s="99"/>
      <c r="D33" s="99"/>
      <c r="E33" s="99"/>
      <c r="F33" s="99"/>
      <c r="G33" s="99"/>
      <c r="H33" s="99"/>
      <c r="I33" s="99"/>
      <c r="J33" s="99"/>
      <c r="K33" s="99"/>
      <c r="L33" s="99"/>
      <c r="M33" s="99"/>
      <c r="N33" s="99"/>
      <c r="O33" s="99"/>
      <c r="P33" s="99"/>
      <c r="Q33" s="99"/>
      <c r="R33" s="99"/>
      <c r="S33" s="99"/>
      <c r="T33" s="99"/>
      <c r="U33" s="105"/>
    </row>
    <row r="34" spans="2:21" ht="92.25" customHeight="1" x14ac:dyDescent="0.2">
      <c r="B34" s="98" t="s">
        <v>397</v>
      </c>
      <c r="C34" s="99"/>
      <c r="D34" s="99"/>
      <c r="E34" s="99"/>
      <c r="F34" s="99"/>
      <c r="G34" s="99"/>
      <c r="H34" s="99"/>
      <c r="I34" s="99"/>
      <c r="J34" s="99"/>
      <c r="K34" s="99"/>
      <c r="L34" s="99"/>
      <c r="M34" s="99"/>
      <c r="N34" s="99"/>
      <c r="O34" s="99"/>
      <c r="P34" s="99"/>
      <c r="Q34" s="99"/>
      <c r="R34" s="99"/>
      <c r="S34" s="99"/>
      <c r="T34" s="99"/>
      <c r="U34" s="105"/>
    </row>
    <row r="35" spans="2:21" ht="92.25" customHeight="1" x14ac:dyDescent="0.2">
      <c r="B35" s="98" t="s">
        <v>398</v>
      </c>
      <c r="C35" s="99"/>
      <c r="D35" s="99"/>
      <c r="E35" s="99"/>
      <c r="F35" s="99"/>
      <c r="G35" s="99"/>
      <c r="H35" s="99"/>
      <c r="I35" s="99"/>
      <c r="J35" s="99"/>
      <c r="K35" s="99"/>
      <c r="L35" s="99"/>
      <c r="M35" s="99"/>
      <c r="N35" s="99"/>
      <c r="O35" s="99"/>
      <c r="P35" s="99"/>
      <c r="Q35" s="99"/>
      <c r="R35" s="99"/>
      <c r="S35" s="99"/>
      <c r="T35" s="99"/>
      <c r="U35" s="105"/>
    </row>
    <row r="36" spans="2:21" ht="60" customHeight="1" x14ac:dyDescent="0.2">
      <c r="B36" s="98" t="s">
        <v>399</v>
      </c>
      <c r="C36" s="99"/>
      <c r="D36" s="99"/>
      <c r="E36" s="99"/>
      <c r="F36" s="99"/>
      <c r="G36" s="99"/>
      <c r="H36" s="99"/>
      <c r="I36" s="99"/>
      <c r="J36" s="99"/>
      <c r="K36" s="99"/>
      <c r="L36" s="99"/>
      <c r="M36" s="99"/>
      <c r="N36" s="99"/>
      <c r="O36" s="99"/>
      <c r="P36" s="99"/>
      <c r="Q36" s="99"/>
      <c r="R36" s="99"/>
      <c r="S36" s="99"/>
      <c r="T36" s="99"/>
      <c r="U36" s="105"/>
    </row>
    <row r="37" spans="2:21" ht="55.5" customHeight="1" x14ac:dyDescent="0.2">
      <c r="B37" s="98" t="s">
        <v>400</v>
      </c>
      <c r="C37" s="99"/>
      <c r="D37" s="99"/>
      <c r="E37" s="99"/>
      <c r="F37" s="99"/>
      <c r="G37" s="99"/>
      <c r="H37" s="99"/>
      <c r="I37" s="99"/>
      <c r="J37" s="99"/>
      <c r="K37" s="99"/>
      <c r="L37" s="99"/>
      <c r="M37" s="99"/>
      <c r="N37" s="99"/>
      <c r="O37" s="99"/>
      <c r="P37" s="99"/>
      <c r="Q37" s="99"/>
      <c r="R37" s="99"/>
      <c r="S37" s="99"/>
      <c r="T37" s="99"/>
      <c r="U37" s="105"/>
    </row>
    <row r="38" spans="2:21" ht="92.25" customHeight="1" x14ac:dyDescent="0.2">
      <c r="B38" s="98" t="s">
        <v>401</v>
      </c>
      <c r="C38" s="99"/>
      <c r="D38" s="99"/>
      <c r="E38" s="99"/>
      <c r="F38" s="99"/>
      <c r="G38" s="99"/>
      <c r="H38" s="99"/>
      <c r="I38" s="99"/>
      <c r="J38" s="99"/>
      <c r="K38" s="99"/>
      <c r="L38" s="99"/>
      <c r="M38" s="99"/>
      <c r="N38" s="99"/>
      <c r="O38" s="99"/>
      <c r="P38" s="99"/>
      <c r="Q38" s="99"/>
      <c r="R38" s="99"/>
      <c r="S38" s="99"/>
      <c r="T38" s="99"/>
      <c r="U38" s="100"/>
    </row>
    <row r="39" spans="2:21" ht="68.25" customHeight="1" x14ac:dyDescent="0.2">
      <c r="B39" s="98" t="s">
        <v>402</v>
      </c>
      <c r="C39" s="99"/>
      <c r="D39" s="99"/>
      <c r="E39" s="99"/>
      <c r="F39" s="99"/>
      <c r="G39" s="99"/>
      <c r="H39" s="99"/>
      <c r="I39" s="99"/>
      <c r="J39" s="99"/>
      <c r="K39" s="99"/>
      <c r="L39" s="99"/>
      <c r="M39" s="99"/>
      <c r="N39" s="99"/>
      <c r="O39" s="99"/>
      <c r="P39" s="99"/>
      <c r="Q39" s="99"/>
      <c r="R39" s="99"/>
      <c r="S39" s="99"/>
      <c r="T39" s="99"/>
      <c r="U39" s="100"/>
    </row>
    <row r="40" spans="2:21" ht="66.75" customHeight="1" x14ac:dyDescent="0.2">
      <c r="B40" s="98" t="s">
        <v>403</v>
      </c>
      <c r="C40" s="99"/>
      <c r="D40" s="99"/>
      <c r="E40" s="99"/>
      <c r="F40" s="99"/>
      <c r="G40" s="99"/>
      <c r="H40" s="99"/>
      <c r="I40" s="99"/>
      <c r="J40" s="99"/>
      <c r="K40" s="99"/>
      <c r="L40" s="99"/>
      <c r="M40" s="99"/>
      <c r="N40" s="99"/>
      <c r="O40" s="99"/>
      <c r="P40" s="99"/>
      <c r="Q40" s="99"/>
      <c r="R40" s="99"/>
      <c r="S40" s="99"/>
      <c r="T40" s="99"/>
      <c r="U40" s="100"/>
    </row>
    <row r="41" spans="2:21" ht="66.75" customHeight="1" x14ac:dyDescent="0.2">
      <c r="B41" s="98" t="s">
        <v>404</v>
      </c>
      <c r="C41" s="99"/>
      <c r="D41" s="99"/>
      <c r="E41" s="99"/>
      <c r="F41" s="99"/>
      <c r="G41" s="99"/>
      <c r="H41" s="99"/>
      <c r="I41" s="99"/>
      <c r="J41" s="99"/>
      <c r="K41" s="99"/>
      <c r="L41" s="99"/>
      <c r="M41" s="99"/>
      <c r="N41" s="99"/>
      <c r="O41" s="99"/>
      <c r="P41" s="99"/>
      <c r="Q41" s="99"/>
      <c r="R41" s="99"/>
      <c r="S41" s="99"/>
      <c r="T41" s="99"/>
      <c r="U41" s="100"/>
    </row>
    <row r="42" spans="2:21" ht="81" customHeight="1" x14ac:dyDescent="0.2">
      <c r="B42" s="98" t="s">
        <v>405</v>
      </c>
      <c r="C42" s="99"/>
      <c r="D42" s="99"/>
      <c r="E42" s="99"/>
      <c r="F42" s="99"/>
      <c r="G42" s="99"/>
      <c r="H42" s="99"/>
      <c r="I42" s="99"/>
      <c r="J42" s="99"/>
      <c r="K42" s="99"/>
      <c r="L42" s="99"/>
      <c r="M42" s="99"/>
      <c r="N42" s="99"/>
      <c r="O42" s="99"/>
      <c r="P42" s="99"/>
      <c r="Q42" s="99"/>
      <c r="R42" s="99"/>
      <c r="S42" s="99"/>
      <c r="T42" s="99"/>
      <c r="U42" s="100"/>
    </row>
    <row r="43" spans="2:21" ht="92.25" customHeight="1" thickBot="1" x14ac:dyDescent="0.25">
      <c r="B43" s="101" t="s">
        <v>406</v>
      </c>
      <c r="C43" s="102"/>
      <c r="D43" s="102"/>
      <c r="E43" s="102"/>
      <c r="F43" s="102"/>
      <c r="G43" s="102"/>
      <c r="H43" s="102"/>
      <c r="I43" s="102"/>
      <c r="J43" s="102"/>
      <c r="K43" s="102"/>
      <c r="L43" s="102"/>
      <c r="M43" s="102"/>
      <c r="N43" s="102"/>
      <c r="O43" s="102"/>
      <c r="P43" s="102"/>
      <c r="Q43" s="102"/>
      <c r="R43" s="102"/>
      <c r="S43" s="102"/>
      <c r="T43" s="102"/>
      <c r="U43" s="103"/>
    </row>
  </sheetData>
  <mergeCells count="76">
    <mergeCell ref="B40:U40"/>
    <mergeCell ref="B41:U41"/>
    <mergeCell ref="B42:U42"/>
    <mergeCell ref="B43:U43"/>
    <mergeCell ref="B34:U34"/>
    <mergeCell ref="B35:U35"/>
    <mergeCell ref="B36:U36"/>
    <mergeCell ref="B37:U37"/>
    <mergeCell ref="B38:U38"/>
    <mergeCell ref="B39:U39"/>
    <mergeCell ref="B33:U33"/>
    <mergeCell ref="C22:H22"/>
    <mergeCell ref="I22:K22"/>
    <mergeCell ref="L22:O22"/>
    <mergeCell ref="C23:H23"/>
    <mergeCell ref="I23:K23"/>
    <mergeCell ref="L23:O23"/>
    <mergeCell ref="B27:D27"/>
    <mergeCell ref="B28:D28"/>
    <mergeCell ref="B30:U30"/>
    <mergeCell ref="B31:U31"/>
    <mergeCell ref="B32:U32"/>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7"/>
  <sheetViews>
    <sheetView view="pageBreakPreview" zoomScale="90" zoomScaleNormal="80" zoomScaleSheetLayoutView="90" workbookViewId="0">
      <selection activeCell="R13" sqref="R13"/>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 style="1" customWidth="1"/>
    <col min="19" max="19" width="15.375"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6" t="s">
        <v>0</v>
      </c>
      <c r="C1" s="56"/>
      <c r="D1" s="56"/>
      <c r="E1" s="56"/>
      <c r="F1" s="56"/>
      <c r="G1" s="56"/>
      <c r="H1" s="56"/>
      <c r="I1" s="56"/>
      <c r="J1" s="56"/>
      <c r="K1" s="56"/>
      <c r="L1" s="56"/>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407</v>
      </c>
      <c r="D4" s="77" t="s">
        <v>408</v>
      </c>
      <c r="E4" s="77"/>
      <c r="F4" s="77"/>
      <c r="G4" s="77"/>
      <c r="H4" s="77"/>
      <c r="I4" s="10"/>
      <c r="J4" s="11" t="s">
        <v>9</v>
      </c>
      <c r="K4" s="12" t="s">
        <v>10</v>
      </c>
      <c r="L4" s="78" t="s">
        <v>11</v>
      </c>
      <c r="M4" s="78"/>
      <c r="N4" s="78"/>
      <c r="O4" s="78"/>
      <c r="P4" s="11" t="s">
        <v>12</v>
      </c>
      <c r="Q4" s="78" t="s">
        <v>409</v>
      </c>
      <c r="R4" s="78"/>
      <c r="S4" s="11" t="s">
        <v>14</v>
      </c>
      <c r="T4" s="78"/>
      <c r="U4" s="79"/>
    </row>
    <row r="5" spans="1:21" ht="15.75" customHeight="1" x14ac:dyDescent="0.2">
      <c r="B5" s="80" t="s">
        <v>15</v>
      </c>
      <c r="C5" s="81"/>
      <c r="D5" s="81"/>
      <c r="E5" s="81"/>
      <c r="F5" s="81"/>
      <c r="G5" s="81"/>
      <c r="H5" s="81"/>
      <c r="I5" s="81"/>
      <c r="J5" s="81"/>
      <c r="K5" s="81"/>
      <c r="L5" s="81"/>
      <c r="M5" s="81"/>
      <c r="N5" s="81"/>
      <c r="O5" s="81"/>
      <c r="P5" s="81"/>
      <c r="Q5" s="81"/>
      <c r="R5" s="81"/>
      <c r="S5" s="81"/>
      <c r="T5" s="81"/>
      <c r="U5" s="82"/>
    </row>
    <row r="6" spans="1:21" ht="44.25" customHeight="1" thickBot="1" x14ac:dyDescent="0.25">
      <c r="B6" s="13" t="s">
        <v>16</v>
      </c>
      <c r="C6" s="88" t="s">
        <v>17</v>
      </c>
      <c r="D6" s="88"/>
      <c r="E6" s="88"/>
      <c r="F6" s="88"/>
      <c r="G6" s="88"/>
      <c r="H6" s="14"/>
      <c r="I6" s="14"/>
      <c r="J6" s="14" t="s">
        <v>18</v>
      </c>
      <c r="K6" s="88" t="s">
        <v>19</v>
      </c>
      <c r="L6" s="88"/>
      <c r="M6" s="88"/>
      <c r="N6" s="15"/>
      <c r="O6" s="16" t="s">
        <v>20</v>
      </c>
      <c r="P6" s="88" t="s">
        <v>21</v>
      </c>
      <c r="Q6" s="88"/>
      <c r="R6" s="17"/>
      <c r="S6" s="16" t="s">
        <v>22</v>
      </c>
      <c r="T6" s="88" t="s">
        <v>309</v>
      </c>
      <c r="U6" s="89"/>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0" t="s">
        <v>25</v>
      </c>
      <c r="C8" s="63" t="s">
        <v>26</v>
      </c>
      <c r="D8" s="63"/>
      <c r="E8" s="63"/>
      <c r="F8" s="63"/>
      <c r="G8" s="63"/>
      <c r="H8" s="64"/>
      <c r="I8" s="69" t="s">
        <v>27</v>
      </c>
      <c r="J8" s="70"/>
      <c r="K8" s="70"/>
      <c r="L8" s="70"/>
      <c r="M8" s="70"/>
      <c r="N8" s="70"/>
      <c r="O8" s="70"/>
      <c r="P8" s="70"/>
      <c r="Q8" s="70"/>
      <c r="R8" s="70"/>
      <c r="S8" s="71"/>
      <c r="T8" s="72" t="s">
        <v>28</v>
      </c>
      <c r="U8" s="73"/>
    </row>
    <row r="9" spans="1:21" ht="19.5" customHeight="1" x14ac:dyDescent="0.2">
      <c r="B9" s="61"/>
      <c r="C9" s="65"/>
      <c r="D9" s="65"/>
      <c r="E9" s="65"/>
      <c r="F9" s="65"/>
      <c r="G9" s="65"/>
      <c r="H9" s="66"/>
      <c r="I9" s="74" t="s">
        <v>29</v>
      </c>
      <c r="J9" s="63"/>
      <c r="K9" s="63"/>
      <c r="L9" s="63" t="s">
        <v>30</v>
      </c>
      <c r="M9" s="63"/>
      <c r="N9" s="63"/>
      <c r="O9" s="63"/>
      <c r="P9" s="63" t="s">
        <v>31</v>
      </c>
      <c r="Q9" s="63" t="s">
        <v>32</v>
      </c>
      <c r="R9" s="83" t="s">
        <v>33</v>
      </c>
      <c r="S9" s="84"/>
      <c r="T9" s="63" t="s">
        <v>34</v>
      </c>
      <c r="U9" s="85" t="s">
        <v>35</v>
      </c>
    </row>
    <row r="10" spans="1:21" ht="26.25" customHeight="1" thickBot="1" x14ac:dyDescent="0.25">
      <c r="B10" s="62"/>
      <c r="C10" s="67"/>
      <c r="D10" s="67"/>
      <c r="E10" s="67"/>
      <c r="F10" s="67"/>
      <c r="G10" s="67"/>
      <c r="H10" s="68"/>
      <c r="I10" s="75"/>
      <c r="J10" s="76"/>
      <c r="K10" s="76"/>
      <c r="L10" s="76"/>
      <c r="M10" s="76"/>
      <c r="N10" s="76"/>
      <c r="O10" s="76"/>
      <c r="P10" s="76"/>
      <c r="Q10" s="76"/>
      <c r="R10" s="19" t="s">
        <v>36</v>
      </c>
      <c r="S10" s="20" t="s">
        <v>37</v>
      </c>
      <c r="T10" s="76"/>
      <c r="U10" s="86"/>
    </row>
    <row r="11" spans="1:21" ht="98.25" customHeight="1" thickTop="1" thickBot="1" x14ac:dyDescent="0.25">
      <c r="A11" s="21"/>
      <c r="B11" s="22" t="s">
        <v>38</v>
      </c>
      <c r="C11" s="87" t="s">
        <v>410</v>
      </c>
      <c r="D11" s="87"/>
      <c r="E11" s="87"/>
      <c r="F11" s="87"/>
      <c r="G11" s="87"/>
      <c r="H11" s="87"/>
      <c r="I11" s="87" t="s">
        <v>411</v>
      </c>
      <c r="J11" s="87"/>
      <c r="K11" s="87"/>
      <c r="L11" s="87" t="s">
        <v>412</v>
      </c>
      <c r="M11" s="87"/>
      <c r="N11" s="87"/>
      <c r="O11" s="87"/>
      <c r="P11" s="23" t="s">
        <v>42</v>
      </c>
      <c r="Q11" s="23" t="s">
        <v>43</v>
      </c>
      <c r="R11" s="23" t="s">
        <v>70</v>
      </c>
      <c r="S11" s="23">
        <v>109.8</v>
      </c>
      <c r="T11" s="23">
        <v>109</v>
      </c>
      <c r="U11" s="45">
        <f>99.3</f>
        <v>99.3</v>
      </c>
    </row>
    <row r="12" spans="1:21" ht="75" customHeight="1" thickTop="1" x14ac:dyDescent="0.2">
      <c r="A12" s="21"/>
      <c r="B12" s="22" t="s">
        <v>47</v>
      </c>
      <c r="C12" s="87" t="s">
        <v>413</v>
      </c>
      <c r="D12" s="87"/>
      <c r="E12" s="87"/>
      <c r="F12" s="87"/>
      <c r="G12" s="87"/>
      <c r="H12" s="87"/>
      <c r="I12" s="87" t="s">
        <v>414</v>
      </c>
      <c r="J12" s="87"/>
      <c r="K12" s="87"/>
      <c r="L12" s="87" t="s">
        <v>415</v>
      </c>
      <c r="M12" s="87"/>
      <c r="N12" s="87"/>
      <c r="O12" s="87"/>
      <c r="P12" s="23" t="s">
        <v>42</v>
      </c>
      <c r="Q12" s="23" t="s">
        <v>43</v>
      </c>
      <c r="R12" s="23" t="s">
        <v>70</v>
      </c>
      <c r="S12" s="23">
        <v>90.04</v>
      </c>
      <c r="T12" s="23">
        <v>84.66</v>
      </c>
      <c r="U12" s="45">
        <f>94</f>
        <v>94</v>
      </c>
    </row>
    <row r="13" spans="1:21" ht="75" customHeight="1" thickBot="1" x14ac:dyDescent="0.25">
      <c r="A13" s="21"/>
      <c r="B13" s="24" t="s">
        <v>44</v>
      </c>
      <c r="C13" s="90" t="s">
        <v>44</v>
      </c>
      <c r="D13" s="90"/>
      <c r="E13" s="90"/>
      <c r="F13" s="90"/>
      <c r="G13" s="90"/>
      <c r="H13" s="90"/>
      <c r="I13" s="90" t="s">
        <v>416</v>
      </c>
      <c r="J13" s="90"/>
      <c r="K13" s="90"/>
      <c r="L13" s="90" t="s">
        <v>417</v>
      </c>
      <c r="M13" s="90"/>
      <c r="N13" s="90"/>
      <c r="O13" s="90"/>
      <c r="P13" s="54" t="s">
        <v>42</v>
      </c>
      <c r="Q13" s="54" t="s">
        <v>43</v>
      </c>
      <c r="R13" s="54" t="s">
        <v>70</v>
      </c>
      <c r="S13" s="54">
        <v>110</v>
      </c>
      <c r="T13" s="54">
        <v>159.33000000000001</v>
      </c>
      <c r="U13" s="55">
        <f>144.8</f>
        <v>144.80000000000001</v>
      </c>
    </row>
    <row r="14" spans="1:21" ht="81" customHeight="1" thickTop="1" x14ac:dyDescent="0.2">
      <c r="A14" s="21"/>
      <c r="B14" s="22" t="s">
        <v>53</v>
      </c>
      <c r="C14" s="87" t="s">
        <v>418</v>
      </c>
      <c r="D14" s="87"/>
      <c r="E14" s="87"/>
      <c r="F14" s="87"/>
      <c r="G14" s="87"/>
      <c r="H14" s="87"/>
      <c r="I14" s="87" t="s">
        <v>419</v>
      </c>
      <c r="J14" s="87"/>
      <c r="K14" s="87"/>
      <c r="L14" s="87" t="s">
        <v>420</v>
      </c>
      <c r="M14" s="87"/>
      <c r="N14" s="87"/>
      <c r="O14" s="87"/>
      <c r="P14" s="23" t="s">
        <v>42</v>
      </c>
      <c r="Q14" s="23" t="s">
        <v>43</v>
      </c>
      <c r="R14" s="23">
        <v>10</v>
      </c>
      <c r="S14" s="23">
        <v>10</v>
      </c>
      <c r="T14" s="23">
        <v>49.8</v>
      </c>
      <c r="U14" s="45">
        <f>498</f>
        <v>498</v>
      </c>
    </row>
    <row r="15" spans="1:21" ht="98.25" customHeight="1" thickBot="1" x14ac:dyDescent="0.25">
      <c r="A15" s="21"/>
      <c r="B15" s="24" t="s">
        <v>44</v>
      </c>
      <c r="C15" s="90" t="s">
        <v>44</v>
      </c>
      <c r="D15" s="90"/>
      <c r="E15" s="90"/>
      <c r="F15" s="90"/>
      <c r="G15" s="90"/>
      <c r="H15" s="90"/>
      <c r="I15" s="90" t="s">
        <v>421</v>
      </c>
      <c r="J15" s="90"/>
      <c r="K15" s="90"/>
      <c r="L15" s="90" t="s">
        <v>422</v>
      </c>
      <c r="M15" s="90"/>
      <c r="N15" s="90"/>
      <c r="O15" s="90"/>
      <c r="P15" s="25" t="s">
        <v>423</v>
      </c>
      <c r="Q15" s="25" t="s">
        <v>43</v>
      </c>
      <c r="R15" s="25" t="s">
        <v>70</v>
      </c>
      <c r="S15" s="25">
        <v>1.1000000000000001</v>
      </c>
      <c r="T15" s="25">
        <v>1.42</v>
      </c>
      <c r="U15" s="46">
        <f>129.1</f>
        <v>129.1</v>
      </c>
    </row>
    <row r="16" spans="1:21" ht="109.5" customHeight="1" thickTop="1" x14ac:dyDescent="0.2">
      <c r="A16" s="21"/>
      <c r="B16" s="22" t="s">
        <v>64</v>
      </c>
      <c r="C16" s="87" t="s">
        <v>424</v>
      </c>
      <c r="D16" s="87"/>
      <c r="E16" s="87"/>
      <c r="F16" s="87"/>
      <c r="G16" s="87"/>
      <c r="H16" s="87"/>
      <c r="I16" s="87" t="s">
        <v>425</v>
      </c>
      <c r="J16" s="87"/>
      <c r="K16" s="87"/>
      <c r="L16" s="87" t="s">
        <v>426</v>
      </c>
      <c r="M16" s="87"/>
      <c r="N16" s="87"/>
      <c r="O16" s="87"/>
      <c r="P16" s="23" t="s">
        <v>42</v>
      </c>
      <c r="Q16" s="23" t="s">
        <v>69</v>
      </c>
      <c r="R16" s="23" t="s">
        <v>70</v>
      </c>
      <c r="S16" s="23">
        <v>0.95</v>
      </c>
      <c r="T16" s="23">
        <v>0.85</v>
      </c>
      <c r="U16" s="45">
        <f>89.4</f>
        <v>89.4</v>
      </c>
    </row>
    <row r="17" spans="1:22" ht="65.25" customHeight="1" x14ac:dyDescent="0.2">
      <c r="A17" s="21"/>
      <c r="B17" s="24" t="s">
        <v>44</v>
      </c>
      <c r="C17" s="90" t="s">
        <v>427</v>
      </c>
      <c r="D17" s="90"/>
      <c r="E17" s="90"/>
      <c r="F17" s="90"/>
      <c r="G17" s="90"/>
      <c r="H17" s="90"/>
      <c r="I17" s="90" t="s">
        <v>428</v>
      </c>
      <c r="J17" s="90"/>
      <c r="K17" s="90"/>
      <c r="L17" s="90" t="s">
        <v>429</v>
      </c>
      <c r="M17" s="90"/>
      <c r="N17" s="90"/>
      <c r="O17" s="90"/>
      <c r="P17" s="25" t="s">
        <v>323</v>
      </c>
      <c r="Q17" s="25" t="s">
        <v>69</v>
      </c>
      <c r="R17" s="25">
        <v>80</v>
      </c>
      <c r="S17" s="25">
        <v>80</v>
      </c>
      <c r="T17" s="25">
        <v>18</v>
      </c>
      <c r="U17" s="46">
        <f>22.5</f>
        <v>22.5</v>
      </c>
    </row>
    <row r="18" spans="1:22" ht="68.25" customHeight="1" x14ac:dyDescent="0.2">
      <c r="A18" s="21"/>
      <c r="B18" s="24" t="s">
        <v>44</v>
      </c>
      <c r="C18" s="90" t="s">
        <v>430</v>
      </c>
      <c r="D18" s="90"/>
      <c r="E18" s="90"/>
      <c r="F18" s="90"/>
      <c r="G18" s="90"/>
      <c r="H18" s="90"/>
      <c r="I18" s="90" t="s">
        <v>431</v>
      </c>
      <c r="J18" s="90"/>
      <c r="K18" s="90"/>
      <c r="L18" s="90" t="s">
        <v>432</v>
      </c>
      <c r="M18" s="90"/>
      <c r="N18" s="90"/>
      <c r="O18" s="90"/>
      <c r="P18" s="25" t="s">
        <v>42</v>
      </c>
      <c r="Q18" s="25" t="s">
        <v>69</v>
      </c>
      <c r="R18" s="25" t="s">
        <v>70</v>
      </c>
      <c r="S18" s="25">
        <v>95.03</v>
      </c>
      <c r="T18" s="25">
        <v>47.45</v>
      </c>
      <c r="U18" s="46">
        <f>49.9</f>
        <v>49.9</v>
      </c>
    </row>
    <row r="19" spans="1:22" ht="75" customHeight="1" x14ac:dyDescent="0.2">
      <c r="A19" s="21"/>
      <c r="B19" s="24" t="s">
        <v>44</v>
      </c>
      <c r="C19" s="90" t="s">
        <v>433</v>
      </c>
      <c r="D19" s="90"/>
      <c r="E19" s="90"/>
      <c r="F19" s="90"/>
      <c r="G19" s="90"/>
      <c r="H19" s="90"/>
      <c r="I19" s="90" t="s">
        <v>434</v>
      </c>
      <c r="J19" s="90"/>
      <c r="K19" s="90"/>
      <c r="L19" s="90" t="s">
        <v>435</v>
      </c>
      <c r="M19" s="90"/>
      <c r="N19" s="90"/>
      <c r="O19" s="90"/>
      <c r="P19" s="25" t="s">
        <v>42</v>
      </c>
      <c r="Q19" s="25" t="s">
        <v>69</v>
      </c>
      <c r="R19" s="25">
        <v>90</v>
      </c>
      <c r="S19" s="25">
        <v>90</v>
      </c>
      <c r="T19" s="25">
        <v>88.24</v>
      </c>
      <c r="U19" s="46">
        <f>98</f>
        <v>98</v>
      </c>
    </row>
    <row r="20" spans="1:22" ht="75" customHeight="1" thickBot="1" x14ac:dyDescent="0.25">
      <c r="A20" s="21"/>
      <c r="B20" s="24" t="s">
        <v>44</v>
      </c>
      <c r="C20" s="90" t="s">
        <v>436</v>
      </c>
      <c r="D20" s="90"/>
      <c r="E20" s="90"/>
      <c r="F20" s="90"/>
      <c r="G20" s="90"/>
      <c r="H20" s="90"/>
      <c r="I20" s="90" t="s">
        <v>437</v>
      </c>
      <c r="J20" s="90"/>
      <c r="K20" s="90"/>
      <c r="L20" s="90" t="s">
        <v>438</v>
      </c>
      <c r="M20" s="90"/>
      <c r="N20" s="90"/>
      <c r="O20" s="90"/>
      <c r="P20" s="25" t="s">
        <v>323</v>
      </c>
      <c r="Q20" s="25" t="s">
        <v>69</v>
      </c>
      <c r="R20" s="25">
        <v>80</v>
      </c>
      <c r="S20" s="25">
        <v>80</v>
      </c>
      <c r="T20" s="25">
        <v>18</v>
      </c>
      <c r="U20" s="46">
        <f>22.5</f>
        <v>22.5</v>
      </c>
    </row>
    <row r="21" spans="1:22" ht="14.25" customHeight="1" thickTop="1" thickBot="1" x14ac:dyDescent="0.25">
      <c r="B21" s="4" t="s">
        <v>124</v>
      </c>
      <c r="C21" s="5"/>
      <c r="D21" s="5"/>
      <c r="E21" s="5"/>
      <c r="F21" s="5"/>
      <c r="G21" s="5"/>
      <c r="H21" s="6"/>
      <c r="I21" s="6"/>
      <c r="J21" s="6"/>
      <c r="K21" s="6"/>
      <c r="L21" s="6"/>
      <c r="M21" s="6"/>
      <c r="N21" s="6"/>
      <c r="O21" s="6"/>
      <c r="P21" s="6"/>
      <c r="Q21" s="6"/>
      <c r="R21" s="6"/>
      <c r="S21" s="6"/>
      <c r="T21" s="6"/>
      <c r="U21" s="47"/>
      <c r="V21" s="28"/>
    </row>
    <row r="22" spans="1:22" ht="26.25" customHeight="1" thickTop="1" x14ac:dyDescent="0.2">
      <c r="B22" s="29"/>
      <c r="C22" s="30"/>
      <c r="D22" s="30"/>
      <c r="E22" s="30"/>
      <c r="F22" s="30"/>
      <c r="G22" s="30"/>
      <c r="H22" s="31"/>
      <c r="I22" s="31"/>
      <c r="J22" s="31"/>
      <c r="K22" s="31"/>
      <c r="L22" s="31"/>
      <c r="M22" s="31"/>
      <c r="N22" s="31"/>
      <c r="O22" s="31"/>
      <c r="P22" s="31"/>
      <c r="Q22" s="31"/>
      <c r="R22" s="32"/>
      <c r="S22" s="33" t="s">
        <v>33</v>
      </c>
      <c r="T22" s="33" t="s">
        <v>125</v>
      </c>
      <c r="U22" s="48" t="s">
        <v>126</v>
      </c>
    </row>
    <row r="23" spans="1:22" ht="26.25" customHeight="1" thickBot="1" x14ac:dyDescent="0.25">
      <c r="B23" s="34"/>
      <c r="C23" s="35"/>
      <c r="D23" s="35"/>
      <c r="E23" s="35"/>
      <c r="F23" s="35"/>
      <c r="G23" s="35"/>
      <c r="H23" s="36"/>
      <c r="I23" s="36"/>
      <c r="J23" s="36"/>
      <c r="K23" s="36"/>
      <c r="L23" s="36"/>
      <c r="M23" s="36"/>
      <c r="N23" s="36"/>
      <c r="O23" s="36"/>
      <c r="P23" s="36"/>
      <c r="Q23" s="36"/>
      <c r="R23" s="36"/>
      <c r="S23" s="37" t="s">
        <v>127</v>
      </c>
      <c r="T23" s="38" t="s">
        <v>127</v>
      </c>
      <c r="U23" s="49" t="s">
        <v>128</v>
      </c>
    </row>
    <row r="24" spans="1:22" ht="13.5" customHeight="1" thickBot="1" x14ac:dyDescent="0.25">
      <c r="B24" s="91" t="s">
        <v>129</v>
      </c>
      <c r="C24" s="92"/>
      <c r="D24" s="92"/>
      <c r="E24" s="39"/>
      <c r="F24" s="39"/>
      <c r="G24" s="39"/>
      <c r="H24" s="40"/>
      <c r="I24" s="40"/>
      <c r="J24" s="40"/>
      <c r="K24" s="40"/>
      <c r="L24" s="40"/>
      <c r="M24" s="40"/>
      <c r="N24" s="40"/>
      <c r="O24" s="40"/>
      <c r="P24" s="41"/>
      <c r="Q24" s="41"/>
      <c r="R24" s="41"/>
      <c r="S24" s="52">
        <v>157.62955299999999</v>
      </c>
      <c r="T24" s="52">
        <v>430.04431442999993</v>
      </c>
      <c r="U24" s="53">
        <f>+IF(ISERR(T24/S24*100),"N/A",ROUND(T24/S24*100,1))</f>
        <v>272.8</v>
      </c>
    </row>
    <row r="25" spans="1:22" ht="13.5" customHeight="1" thickBot="1" x14ac:dyDescent="0.25">
      <c r="B25" s="93" t="s">
        <v>130</v>
      </c>
      <c r="C25" s="94"/>
      <c r="D25" s="94"/>
      <c r="E25" s="42"/>
      <c r="F25" s="42"/>
      <c r="G25" s="42"/>
      <c r="H25" s="43"/>
      <c r="I25" s="43"/>
      <c r="J25" s="43"/>
      <c r="K25" s="43"/>
      <c r="L25" s="43"/>
      <c r="M25" s="43"/>
      <c r="N25" s="43"/>
      <c r="O25" s="43"/>
      <c r="P25" s="44"/>
      <c r="Q25" s="44"/>
      <c r="R25" s="44"/>
      <c r="S25" s="52">
        <v>430.04431442999999</v>
      </c>
      <c r="T25" s="52">
        <v>430.04431442999993</v>
      </c>
      <c r="U25" s="53">
        <f>+IF(ISERR(T25/S25*100),"N/A",ROUND(T25/S25*100,1))</f>
        <v>100</v>
      </c>
    </row>
    <row r="26" spans="1:22" ht="14.85" customHeight="1" thickTop="1" thickBot="1" x14ac:dyDescent="0.25">
      <c r="B26" s="4" t="s">
        <v>131</v>
      </c>
      <c r="C26" s="5"/>
      <c r="D26" s="5"/>
      <c r="E26" s="5"/>
      <c r="F26" s="5"/>
      <c r="G26" s="5"/>
      <c r="H26" s="6"/>
      <c r="I26" s="6"/>
      <c r="J26" s="6"/>
      <c r="K26" s="6"/>
      <c r="L26" s="6"/>
      <c r="M26" s="6"/>
      <c r="N26" s="6"/>
      <c r="O26" s="6"/>
      <c r="P26" s="6"/>
      <c r="Q26" s="6"/>
      <c r="R26" s="6"/>
      <c r="S26" s="6"/>
      <c r="T26" s="6"/>
      <c r="U26" s="47"/>
    </row>
    <row r="27" spans="1:22" ht="44.25" customHeight="1" thickTop="1" x14ac:dyDescent="0.2">
      <c r="B27" s="95" t="s">
        <v>132</v>
      </c>
      <c r="C27" s="96"/>
      <c r="D27" s="96"/>
      <c r="E27" s="96"/>
      <c r="F27" s="96"/>
      <c r="G27" s="96"/>
      <c r="H27" s="96"/>
      <c r="I27" s="96"/>
      <c r="J27" s="96"/>
      <c r="K27" s="96"/>
      <c r="L27" s="96"/>
      <c r="M27" s="96"/>
      <c r="N27" s="96"/>
      <c r="O27" s="96"/>
      <c r="P27" s="96"/>
      <c r="Q27" s="96"/>
      <c r="R27" s="96"/>
      <c r="S27" s="96"/>
      <c r="T27" s="96"/>
      <c r="U27" s="104"/>
    </row>
    <row r="28" spans="1:22" ht="56.25" customHeight="1" x14ac:dyDescent="0.2">
      <c r="B28" s="98" t="s">
        <v>439</v>
      </c>
      <c r="C28" s="99"/>
      <c r="D28" s="99"/>
      <c r="E28" s="99"/>
      <c r="F28" s="99"/>
      <c r="G28" s="99"/>
      <c r="H28" s="99"/>
      <c r="I28" s="99"/>
      <c r="J28" s="99"/>
      <c r="K28" s="99"/>
      <c r="L28" s="99"/>
      <c r="M28" s="99"/>
      <c r="N28" s="99"/>
      <c r="O28" s="99"/>
      <c r="P28" s="99"/>
      <c r="Q28" s="99"/>
      <c r="R28" s="99"/>
      <c r="S28" s="99"/>
      <c r="T28" s="99"/>
      <c r="U28" s="105"/>
    </row>
    <row r="29" spans="1:22" ht="56.25" customHeight="1" x14ac:dyDescent="0.2">
      <c r="B29" s="98" t="s">
        <v>440</v>
      </c>
      <c r="C29" s="99"/>
      <c r="D29" s="99"/>
      <c r="E29" s="99"/>
      <c r="F29" s="99"/>
      <c r="G29" s="99"/>
      <c r="H29" s="99"/>
      <c r="I29" s="99"/>
      <c r="J29" s="99"/>
      <c r="K29" s="99"/>
      <c r="L29" s="99"/>
      <c r="M29" s="99"/>
      <c r="N29" s="99"/>
      <c r="O29" s="99"/>
      <c r="P29" s="99"/>
      <c r="Q29" s="99"/>
      <c r="R29" s="99"/>
      <c r="S29" s="99"/>
      <c r="T29" s="99"/>
      <c r="U29" s="105"/>
    </row>
    <row r="30" spans="1:22" ht="56.25" customHeight="1" x14ac:dyDescent="0.2">
      <c r="B30" s="98" t="s">
        <v>441</v>
      </c>
      <c r="C30" s="99"/>
      <c r="D30" s="99"/>
      <c r="E30" s="99"/>
      <c r="F30" s="99"/>
      <c r="G30" s="99"/>
      <c r="H30" s="99"/>
      <c r="I30" s="99"/>
      <c r="J30" s="99"/>
      <c r="K30" s="99"/>
      <c r="L30" s="99"/>
      <c r="M30" s="99"/>
      <c r="N30" s="99"/>
      <c r="O30" s="99"/>
      <c r="P30" s="99"/>
      <c r="Q30" s="99"/>
      <c r="R30" s="99"/>
      <c r="S30" s="99"/>
      <c r="T30" s="99"/>
      <c r="U30" s="105"/>
    </row>
    <row r="31" spans="1:22" ht="249.75" customHeight="1" x14ac:dyDescent="0.2">
      <c r="B31" s="98" t="s">
        <v>442</v>
      </c>
      <c r="C31" s="99"/>
      <c r="D31" s="99"/>
      <c r="E31" s="99"/>
      <c r="F31" s="99"/>
      <c r="G31" s="99"/>
      <c r="H31" s="99"/>
      <c r="I31" s="99"/>
      <c r="J31" s="99"/>
      <c r="K31" s="99"/>
      <c r="L31" s="99"/>
      <c r="M31" s="99"/>
      <c r="N31" s="99"/>
      <c r="O31" s="99"/>
      <c r="P31" s="99"/>
      <c r="Q31" s="99"/>
      <c r="R31" s="99"/>
      <c r="S31" s="99"/>
      <c r="T31" s="99"/>
      <c r="U31" s="105"/>
    </row>
    <row r="32" spans="1:22" ht="56.25" customHeight="1" x14ac:dyDescent="0.2">
      <c r="B32" s="98" t="s">
        <v>443</v>
      </c>
      <c r="C32" s="99"/>
      <c r="D32" s="99"/>
      <c r="E32" s="99"/>
      <c r="F32" s="99"/>
      <c r="G32" s="99"/>
      <c r="H32" s="99"/>
      <c r="I32" s="99"/>
      <c r="J32" s="99"/>
      <c r="K32" s="99"/>
      <c r="L32" s="99"/>
      <c r="M32" s="99"/>
      <c r="N32" s="99"/>
      <c r="O32" s="99"/>
      <c r="P32" s="99"/>
      <c r="Q32" s="99"/>
      <c r="R32" s="99"/>
      <c r="S32" s="99"/>
      <c r="T32" s="99"/>
      <c r="U32" s="105"/>
    </row>
    <row r="33" spans="2:21" ht="56.25" customHeight="1" x14ac:dyDescent="0.2">
      <c r="B33" s="98" t="s">
        <v>444</v>
      </c>
      <c r="C33" s="99"/>
      <c r="D33" s="99"/>
      <c r="E33" s="99"/>
      <c r="F33" s="99"/>
      <c r="G33" s="99"/>
      <c r="H33" s="99"/>
      <c r="I33" s="99"/>
      <c r="J33" s="99"/>
      <c r="K33" s="99"/>
      <c r="L33" s="99"/>
      <c r="M33" s="99"/>
      <c r="N33" s="99"/>
      <c r="O33" s="99"/>
      <c r="P33" s="99"/>
      <c r="Q33" s="99"/>
      <c r="R33" s="99"/>
      <c r="S33" s="99"/>
      <c r="T33" s="99"/>
      <c r="U33" s="105"/>
    </row>
    <row r="34" spans="2:21" ht="45" customHeight="1" x14ac:dyDescent="0.2">
      <c r="B34" s="98" t="s">
        <v>445</v>
      </c>
      <c r="C34" s="99"/>
      <c r="D34" s="99"/>
      <c r="E34" s="99"/>
      <c r="F34" s="99"/>
      <c r="G34" s="99"/>
      <c r="H34" s="99"/>
      <c r="I34" s="99"/>
      <c r="J34" s="99"/>
      <c r="K34" s="99"/>
      <c r="L34" s="99"/>
      <c r="M34" s="99"/>
      <c r="N34" s="99"/>
      <c r="O34" s="99"/>
      <c r="P34" s="99"/>
      <c r="Q34" s="99"/>
      <c r="R34" s="99"/>
      <c r="S34" s="99"/>
      <c r="T34" s="99"/>
      <c r="U34" s="105"/>
    </row>
    <row r="35" spans="2:21" ht="56.25" customHeight="1" x14ac:dyDescent="0.2">
      <c r="B35" s="98" t="s">
        <v>446</v>
      </c>
      <c r="C35" s="99"/>
      <c r="D35" s="99"/>
      <c r="E35" s="99"/>
      <c r="F35" s="99"/>
      <c r="G35" s="99"/>
      <c r="H35" s="99"/>
      <c r="I35" s="99"/>
      <c r="J35" s="99"/>
      <c r="K35" s="99"/>
      <c r="L35" s="99"/>
      <c r="M35" s="99"/>
      <c r="N35" s="99"/>
      <c r="O35" s="99"/>
      <c r="P35" s="99"/>
      <c r="Q35" s="99"/>
      <c r="R35" s="99"/>
      <c r="S35" s="99"/>
      <c r="T35" s="99"/>
      <c r="U35" s="105"/>
    </row>
    <row r="36" spans="2:21" ht="56.25" customHeight="1" x14ac:dyDescent="0.2">
      <c r="B36" s="98" t="s">
        <v>447</v>
      </c>
      <c r="C36" s="99"/>
      <c r="D36" s="99"/>
      <c r="E36" s="99"/>
      <c r="F36" s="99"/>
      <c r="G36" s="99"/>
      <c r="H36" s="99"/>
      <c r="I36" s="99"/>
      <c r="J36" s="99"/>
      <c r="K36" s="99"/>
      <c r="L36" s="99"/>
      <c r="M36" s="99"/>
      <c r="N36" s="99"/>
      <c r="O36" s="99"/>
      <c r="P36" s="99"/>
      <c r="Q36" s="99"/>
      <c r="R36" s="99"/>
      <c r="S36" s="99"/>
      <c r="T36" s="99"/>
      <c r="U36" s="105"/>
    </row>
    <row r="37" spans="2:21" ht="56.25" customHeight="1" thickBot="1" x14ac:dyDescent="0.25">
      <c r="B37" s="101" t="s">
        <v>448</v>
      </c>
      <c r="C37" s="102"/>
      <c r="D37" s="102"/>
      <c r="E37" s="102"/>
      <c r="F37" s="102"/>
      <c r="G37" s="102"/>
      <c r="H37" s="102"/>
      <c r="I37" s="102"/>
      <c r="J37" s="102"/>
      <c r="K37" s="102"/>
      <c r="L37" s="102"/>
      <c r="M37" s="102"/>
      <c r="N37" s="102"/>
      <c r="O37" s="102"/>
      <c r="P37" s="102"/>
      <c r="Q37" s="102"/>
      <c r="R37" s="102"/>
      <c r="S37" s="102"/>
      <c r="T37" s="102"/>
      <c r="U37" s="106"/>
    </row>
  </sheetData>
  <mergeCells count="64">
    <mergeCell ref="B34:U34"/>
    <mergeCell ref="B35:U35"/>
    <mergeCell ref="B36:U36"/>
    <mergeCell ref="B37:U37"/>
    <mergeCell ref="B28:U28"/>
    <mergeCell ref="B29:U29"/>
    <mergeCell ref="B30:U30"/>
    <mergeCell ref="B31:U31"/>
    <mergeCell ref="B32:U32"/>
    <mergeCell ref="B33:U33"/>
    <mergeCell ref="B27:U27"/>
    <mergeCell ref="C18:H18"/>
    <mergeCell ref="I18:K18"/>
    <mergeCell ref="L18:O18"/>
    <mergeCell ref="C19:H19"/>
    <mergeCell ref="I19:K19"/>
    <mergeCell ref="L19:O19"/>
    <mergeCell ref="C20:H20"/>
    <mergeCell ref="I20:K20"/>
    <mergeCell ref="L20:O20"/>
    <mergeCell ref="B24:D24"/>
    <mergeCell ref="B25:D25"/>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7"/>
  <sheetViews>
    <sheetView view="pageBreakPreview" zoomScale="80" zoomScaleNormal="80" zoomScaleSheetLayoutView="80" workbookViewId="0">
      <selection activeCell="R13" sqref="R13"/>
    </sheetView>
  </sheetViews>
  <sheetFormatPr baseColWidth="10" defaultColWidth="10" defaultRowHeight="12.75" x14ac:dyDescent="0.2"/>
  <cols>
    <col min="1" max="1" width="3.5" style="1" customWidth="1"/>
    <col min="2" max="2" width="14.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 style="1" customWidth="1"/>
    <col min="19" max="19" width="13" style="1" customWidth="1"/>
    <col min="20" max="20" width="10.75" style="1" customWidth="1"/>
    <col min="21" max="21" width="11.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6" t="s">
        <v>0</v>
      </c>
      <c r="C1" s="56"/>
      <c r="D1" s="56"/>
      <c r="E1" s="56"/>
      <c r="F1" s="56"/>
      <c r="G1" s="56"/>
      <c r="H1" s="56"/>
      <c r="I1" s="56"/>
      <c r="J1" s="56"/>
      <c r="K1" s="56"/>
      <c r="L1" s="56"/>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449</v>
      </c>
      <c r="D4" s="77" t="s">
        <v>450</v>
      </c>
      <c r="E4" s="77"/>
      <c r="F4" s="77"/>
      <c r="G4" s="77"/>
      <c r="H4" s="77"/>
      <c r="I4" s="10"/>
      <c r="J4" s="11" t="s">
        <v>9</v>
      </c>
      <c r="K4" s="12" t="s">
        <v>10</v>
      </c>
      <c r="L4" s="78" t="s">
        <v>11</v>
      </c>
      <c r="M4" s="78"/>
      <c r="N4" s="78"/>
      <c r="O4" s="78"/>
      <c r="P4" s="11" t="s">
        <v>12</v>
      </c>
      <c r="Q4" s="78" t="s">
        <v>13</v>
      </c>
      <c r="R4" s="78"/>
      <c r="S4" s="11" t="s">
        <v>14</v>
      </c>
      <c r="T4" s="78"/>
      <c r="U4" s="79"/>
    </row>
    <row r="5" spans="1:21" ht="15.75" customHeight="1" x14ac:dyDescent="0.2">
      <c r="B5" s="80" t="s">
        <v>15</v>
      </c>
      <c r="C5" s="81"/>
      <c r="D5" s="81"/>
      <c r="E5" s="81"/>
      <c r="F5" s="81"/>
      <c r="G5" s="81"/>
      <c r="H5" s="81"/>
      <c r="I5" s="81"/>
      <c r="J5" s="81"/>
      <c r="K5" s="81"/>
      <c r="L5" s="81"/>
      <c r="M5" s="81"/>
      <c r="N5" s="81"/>
      <c r="O5" s="81"/>
      <c r="P5" s="81"/>
      <c r="Q5" s="81"/>
      <c r="R5" s="81"/>
      <c r="S5" s="81"/>
      <c r="T5" s="81"/>
      <c r="U5" s="82"/>
    </row>
    <row r="6" spans="1:21" ht="52.5" customHeight="1" thickBot="1" x14ac:dyDescent="0.25">
      <c r="B6" s="13" t="s">
        <v>16</v>
      </c>
      <c r="C6" s="88" t="s">
        <v>17</v>
      </c>
      <c r="D6" s="88"/>
      <c r="E6" s="88"/>
      <c r="F6" s="88"/>
      <c r="G6" s="88"/>
      <c r="H6" s="14"/>
      <c r="I6" s="14"/>
      <c r="J6" s="14" t="s">
        <v>18</v>
      </c>
      <c r="K6" s="88" t="s">
        <v>19</v>
      </c>
      <c r="L6" s="88"/>
      <c r="M6" s="88"/>
      <c r="N6" s="15"/>
      <c r="O6" s="16" t="s">
        <v>20</v>
      </c>
      <c r="P6" s="88" t="s">
        <v>21</v>
      </c>
      <c r="Q6" s="88"/>
      <c r="R6" s="17"/>
      <c r="S6" s="16" t="s">
        <v>22</v>
      </c>
      <c r="T6" s="88" t="s">
        <v>23</v>
      </c>
      <c r="U6" s="89"/>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0" t="s">
        <v>25</v>
      </c>
      <c r="C8" s="63" t="s">
        <v>26</v>
      </c>
      <c r="D8" s="63"/>
      <c r="E8" s="63"/>
      <c r="F8" s="63"/>
      <c r="G8" s="63"/>
      <c r="H8" s="64"/>
      <c r="I8" s="69" t="s">
        <v>27</v>
      </c>
      <c r="J8" s="70"/>
      <c r="K8" s="70"/>
      <c r="L8" s="70"/>
      <c r="M8" s="70"/>
      <c r="N8" s="70"/>
      <c r="O8" s="70"/>
      <c r="P8" s="70"/>
      <c r="Q8" s="70"/>
      <c r="R8" s="70"/>
      <c r="S8" s="71"/>
      <c r="T8" s="72" t="s">
        <v>28</v>
      </c>
      <c r="U8" s="73"/>
    </row>
    <row r="9" spans="1:21" ht="19.5" customHeight="1" x14ac:dyDescent="0.2">
      <c r="B9" s="61"/>
      <c r="C9" s="65"/>
      <c r="D9" s="65"/>
      <c r="E9" s="65"/>
      <c r="F9" s="65"/>
      <c r="G9" s="65"/>
      <c r="H9" s="66"/>
      <c r="I9" s="74" t="s">
        <v>29</v>
      </c>
      <c r="J9" s="63"/>
      <c r="K9" s="63"/>
      <c r="L9" s="63" t="s">
        <v>30</v>
      </c>
      <c r="M9" s="63"/>
      <c r="N9" s="63"/>
      <c r="O9" s="63"/>
      <c r="P9" s="63" t="s">
        <v>31</v>
      </c>
      <c r="Q9" s="63" t="s">
        <v>32</v>
      </c>
      <c r="R9" s="83" t="s">
        <v>33</v>
      </c>
      <c r="S9" s="84"/>
      <c r="T9" s="63" t="s">
        <v>34</v>
      </c>
      <c r="U9" s="85" t="s">
        <v>35</v>
      </c>
    </row>
    <row r="10" spans="1:21" ht="26.25" customHeight="1" thickBot="1" x14ac:dyDescent="0.25">
      <c r="B10" s="62"/>
      <c r="C10" s="67"/>
      <c r="D10" s="67"/>
      <c r="E10" s="67"/>
      <c r="F10" s="67"/>
      <c r="G10" s="67"/>
      <c r="H10" s="68"/>
      <c r="I10" s="75"/>
      <c r="J10" s="76"/>
      <c r="K10" s="76"/>
      <c r="L10" s="76"/>
      <c r="M10" s="76"/>
      <c r="N10" s="76"/>
      <c r="O10" s="76"/>
      <c r="P10" s="76"/>
      <c r="Q10" s="76"/>
      <c r="R10" s="19" t="s">
        <v>36</v>
      </c>
      <c r="S10" s="20" t="s">
        <v>37</v>
      </c>
      <c r="T10" s="76"/>
      <c r="U10" s="86"/>
    </row>
    <row r="11" spans="1:21" ht="96" customHeight="1" thickTop="1" x14ac:dyDescent="0.2">
      <c r="A11" s="21"/>
      <c r="B11" s="22" t="s">
        <v>38</v>
      </c>
      <c r="C11" s="87" t="s">
        <v>451</v>
      </c>
      <c r="D11" s="87"/>
      <c r="E11" s="87"/>
      <c r="F11" s="87"/>
      <c r="G11" s="87"/>
      <c r="H11" s="87"/>
      <c r="I11" s="87" t="s">
        <v>452</v>
      </c>
      <c r="J11" s="87"/>
      <c r="K11" s="87"/>
      <c r="L11" s="87" t="s">
        <v>453</v>
      </c>
      <c r="M11" s="87"/>
      <c r="N11" s="87"/>
      <c r="O11" s="87"/>
      <c r="P11" s="23" t="s">
        <v>42</v>
      </c>
      <c r="Q11" s="23" t="s">
        <v>43</v>
      </c>
      <c r="R11" s="23">
        <v>63.5</v>
      </c>
      <c r="S11" s="23">
        <v>63.5</v>
      </c>
      <c r="T11" s="23">
        <v>87.53</v>
      </c>
      <c r="U11" s="45">
        <f>137.8</f>
        <v>137.80000000000001</v>
      </c>
    </row>
    <row r="12" spans="1:21" ht="150" customHeight="1" thickBot="1" x14ac:dyDescent="0.25">
      <c r="A12" s="21"/>
      <c r="B12" s="24" t="s">
        <v>44</v>
      </c>
      <c r="C12" s="90" t="s">
        <v>44</v>
      </c>
      <c r="D12" s="90"/>
      <c r="E12" s="90"/>
      <c r="F12" s="90"/>
      <c r="G12" s="90"/>
      <c r="H12" s="90"/>
      <c r="I12" s="90" t="s">
        <v>454</v>
      </c>
      <c r="J12" s="90"/>
      <c r="K12" s="90"/>
      <c r="L12" s="90" t="s">
        <v>455</v>
      </c>
      <c r="M12" s="90"/>
      <c r="N12" s="90"/>
      <c r="O12" s="90"/>
      <c r="P12" s="25" t="s">
        <v>42</v>
      </c>
      <c r="Q12" s="25" t="s">
        <v>43</v>
      </c>
      <c r="R12" s="25">
        <v>30.24</v>
      </c>
      <c r="S12" s="25">
        <v>30.24</v>
      </c>
      <c r="T12" s="25">
        <v>15.17</v>
      </c>
      <c r="U12" s="46">
        <f>50.16</f>
        <v>50.16</v>
      </c>
    </row>
    <row r="13" spans="1:21" ht="118.5" customHeight="1" thickTop="1" thickBot="1" x14ac:dyDescent="0.25">
      <c r="A13" s="21"/>
      <c r="B13" s="22" t="s">
        <v>47</v>
      </c>
      <c r="C13" s="87" t="s">
        <v>456</v>
      </c>
      <c r="D13" s="87"/>
      <c r="E13" s="87"/>
      <c r="F13" s="87"/>
      <c r="G13" s="87"/>
      <c r="H13" s="87"/>
      <c r="I13" s="87" t="s">
        <v>457</v>
      </c>
      <c r="J13" s="87"/>
      <c r="K13" s="87"/>
      <c r="L13" s="87" t="s">
        <v>458</v>
      </c>
      <c r="M13" s="87"/>
      <c r="N13" s="87"/>
      <c r="O13" s="87"/>
      <c r="P13" s="23" t="s">
        <v>42</v>
      </c>
      <c r="Q13" s="23" t="s">
        <v>270</v>
      </c>
      <c r="R13" s="23">
        <v>20.5</v>
      </c>
      <c r="S13" s="23">
        <v>20.5</v>
      </c>
      <c r="T13" s="23">
        <v>46.29</v>
      </c>
      <c r="U13" s="45">
        <f>225.9</f>
        <v>225.9</v>
      </c>
    </row>
    <row r="14" spans="1:21" ht="104.25" customHeight="1" thickTop="1" thickBot="1" x14ac:dyDescent="0.25">
      <c r="A14" s="21"/>
      <c r="B14" s="22" t="s">
        <v>53</v>
      </c>
      <c r="C14" s="87" t="s">
        <v>459</v>
      </c>
      <c r="D14" s="87"/>
      <c r="E14" s="87"/>
      <c r="F14" s="87"/>
      <c r="G14" s="87"/>
      <c r="H14" s="87"/>
      <c r="I14" s="87" t="s">
        <v>460</v>
      </c>
      <c r="J14" s="87"/>
      <c r="K14" s="87"/>
      <c r="L14" s="87" t="s">
        <v>461</v>
      </c>
      <c r="M14" s="87"/>
      <c r="N14" s="87"/>
      <c r="O14" s="87"/>
      <c r="P14" s="23" t="s">
        <v>462</v>
      </c>
      <c r="Q14" s="23" t="s">
        <v>270</v>
      </c>
      <c r="R14" s="23">
        <v>50.3</v>
      </c>
      <c r="S14" s="23">
        <v>50.3</v>
      </c>
      <c r="T14" s="23">
        <v>48.53</v>
      </c>
      <c r="U14" s="45">
        <f>96.5</f>
        <v>96.5</v>
      </c>
    </row>
    <row r="15" spans="1:21" ht="117" customHeight="1" thickTop="1" x14ac:dyDescent="0.2">
      <c r="A15" s="21"/>
      <c r="B15" s="22" t="s">
        <v>64</v>
      </c>
      <c r="C15" s="87" t="s">
        <v>463</v>
      </c>
      <c r="D15" s="87"/>
      <c r="E15" s="87"/>
      <c r="F15" s="87"/>
      <c r="G15" s="87"/>
      <c r="H15" s="87"/>
      <c r="I15" s="87" t="s">
        <v>464</v>
      </c>
      <c r="J15" s="87"/>
      <c r="K15" s="87"/>
      <c r="L15" s="87" t="s">
        <v>465</v>
      </c>
      <c r="M15" s="87"/>
      <c r="N15" s="87"/>
      <c r="O15" s="87"/>
      <c r="P15" s="23" t="s">
        <v>42</v>
      </c>
      <c r="Q15" s="23" t="s">
        <v>61</v>
      </c>
      <c r="R15" s="23">
        <v>72.73</v>
      </c>
      <c r="S15" s="23">
        <v>72.73</v>
      </c>
      <c r="T15" s="23">
        <v>95.45</v>
      </c>
      <c r="U15" s="45">
        <f>131.24</f>
        <v>131.24</v>
      </c>
    </row>
    <row r="16" spans="1:21" ht="105" customHeight="1" thickBot="1" x14ac:dyDescent="0.25">
      <c r="A16" s="21"/>
      <c r="B16" s="24" t="s">
        <v>44</v>
      </c>
      <c r="C16" s="90" t="s">
        <v>466</v>
      </c>
      <c r="D16" s="90"/>
      <c r="E16" s="90"/>
      <c r="F16" s="90"/>
      <c r="G16" s="90"/>
      <c r="H16" s="90"/>
      <c r="I16" s="90" t="s">
        <v>467</v>
      </c>
      <c r="J16" s="90"/>
      <c r="K16" s="90"/>
      <c r="L16" s="90" t="s">
        <v>468</v>
      </c>
      <c r="M16" s="90"/>
      <c r="N16" s="90"/>
      <c r="O16" s="90"/>
      <c r="P16" s="25" t="s">
        <v>42</v>
      </c>
      <c r="Q16" s="25" t="s">
        <v>61</v>
      </c>
      <c r="R16" s="25">
        <v>58.3</v>
      </c>
      <c r="S16" s="25">
        <v>58.3</v>
      </c>
      <c r="T16" s="25">
        <v>58.3</v>
      </c>
      <c r="U16" s="46">
        <f>100</f>
        <v>100</v>
      </c>
    </row>
    <row r="17" spans="2:22" ht="14.25" customHeight="1" thickTop="1" thickBot="1" x14ac:dyDescent="0.25">
      <c r="B17" s="4" t="s">
        <v>124</v>
      </c>
      <c r="C17" s="5"/>
      <c r="D17" s="5"/>
      <c r="E17" s="5"/>
      <c r="F17" s="5"/>
      <c r="G17" s="5"/>
      <c r="H17" s="6"/>
      <c r="I17" s="6"/>
      <c r="J17" s="6"/>
      <c r="K17" s="6"/>
      <c r="L17" s="6"/>
      <c r="M17" s="6"/>
      <c r="N17" s="6"/>
      <c r="O17" s="6"/>
      <c r="P17" s="6"/>
      <c r="Q17" s="6"/>
      <c r="R17" s="6"/>
      <c r="S17" s="6"/>
      <c r="T17" s="6"/>
      <c r="U17" s="47"/>
      <c r="V17" s="28"/>
    </row>
    <row r="18" spans="2:22" ht="26.25" customHeight="1" thickTop="1" x14ac:dyDescent="0.2">
      <c r="B18" s="29"/>
      <c r="C18" s="30"/>
      <c r="D18" s="30"/>
      <c r="E18" s="30"/>
      <c r="F18" s="30"/>
      <c r="G18" s="30"/>
      <c r="H18" s="31"/>
      <c r="I18" s="31"/>
      <c r="J18" s="31"/>
      <c r="K18" s="31"/>
      <c r="L18" s="31"/>
      <c r="M18" s="31"/>
      <c r="N18" s="31"/>
      <c r="O18" s="31"/>
      <c r="P18" s="31"/>
      <c r="Q18" s="31"/>
      <c r="R18" s="32"/>
      <c r="S18" s="33" t="s">
        <v>33</v>
      </c>
      <c r="T18" s="33" t="s">
        <v>125</v>
      </c>
      <c r="U18" s="48" t="s">
        <v>126</v>
      </c>
    </row>
    <row r="19" spans="2:22" ht="26.25" customHeight="1" thickBot="1" x14ac:dyDescent="0.25">
      <c r="B19" s="34"/>
      <c r="C19" s="35"/>
      <c r="D19" s="35"/>
      <c r="E19" s="35"/>
      <c r="F19" s="35"/>
      <c r="G19" s="35"/>
      <c r="H19" s="36"/>
      <c r="I19" s="36"/>
      <c r="J19" s="36"/>
      <c r="K19" s="36"/>
      <c r="L19" s="36"/>
      <c r="M19" s="36"/>
      <c r="N19" s="36"/>
      <c r="O19" s="36"/>
      <c r="P19" s="36"/>
      <c r="Q19" s="36"/>
      <c r="R19" s="36"/>
      <c r="S19" s="37" t="s">
        <v>127</v>
      </c>
      <c r="T19" s="38" t="s">
        <v>127</v>
      </c>
      <c r="U19" s="49" t="s">
        <v>128</v>
      </c>
    </row>
    <row r="20" spans="2:22" ht="13.5" customHeight="1" thickBot="1" x14ac:dyDescent="0.25">
      <c r="B20" s="91" t="s">
        <v>129</v>
      </c>
      <c r="C20" s="92"/>
      <c r="D20" s="92"/>
      <c r="E20" s="39"/>
      <c r="F20" s="39"/>
      <c r="G20" s="39"/>
      <c r="H20" s="40"/>
      <c r="I20" s="40"/>
      <c r="J20" s="40"/>
      <c r="K20" s="40"/>
      <c r="L20" s="40"/>
      <c r="M20" s="40"/>
      <c r="N20" s="40"/>
      <c r="O20" s="40"/>
      <c r="P20" s="41"/>
      <c r="Q20" s="41"/>
      <c r="R20" s="41"/>
      <c r="S20" s="52">
        <v>33.483333000000002</v>
      </c>
      <c r="T20" s="52">
        <v>195.68688700000001</v>
      </c>
      <c r="U20" s="53">
        <f>+IF(ISERR(T20/S20*100),"N/A",ROUND(T20/S20*100,1))</f>
        <v>584.4</v>
      </c>
    </row>
    <row r="21" spans="2:22" ht="13.5" customHeight="1" thickBot="1" x14ac:dyDescent="0.25">
      <c r="B21" s="93" t="s">
        <v>130</v>
      </c>
      <c r="C21" s="94"/>
      <c r="D21" s="94"/>
      <c r="E21" s="42"/>
      <c r="F21" s="42"/>
      <c r="G21" s="42"/>
      <c r="H21" s="43"/>
      <c r="I21" s="43"/>
      <c r="J21" s="43"/>
      <c r="K21" s="43"/>
      <c r="L21" s="43"/>
      <c r="M21" s="43"/>
      <c r="N21" s="43"/>
      <c r="O21" s="43"/>
      <c r="P21" s="44"/>
      <c r="Q21" s="44"/>
      <c r="R21" s="44"/>
      <c r="S21" s="52">
        <v>195.68688700000001</v>
      </c>
      <c r="T21" s="52">
        <v>195.68688700000001</v>
      </c>
      <c r="U21" s="53">
        <f>+IF(ISERR(T21/S21*100),"N/A",ROUND(T21/S21*100,1))</f>
        <v>100</v>
      </c>
    </row>
    <row r="22" spans="2:22" ht="14.85" customHeight="1" thickTop="1" thickBot="1" x14ac:dyDescent="0.25">
      <c r="B22" s="4" t="s">
        <v>131</v>
      </c>
      <c r="C22" s="5"/>
      <c r="D22" s="5"/>
      <c r="E22" s="5"/>
      <c r="F22" s="5"/>
      <c r="G22" s="5"/>
      <c r="H22" s="6"/>
      <c r="I22" s="6"/>
      <c r="J22" s="6"/>
      <c r="K22" s="6"/>
      <c r="L22" s="6"/>
      <c r="M22" s="6"/>
      <c r="N22" s="6"/>
      <c r="O22" s="6"/>
      <c r="P22" s="6"/>
      <c r="Q22" s="6"/>
      <c r="R22" s="6"/>
      <c r="S22" s="6"/>
      <c r="T22" s="6"/>
      <c r="U22" s="47"/>
    </row>
    <row r="23" spans="2:22" ht="44.25" customHeight="1" thickTop="1" x14ac:dyDescent="0.2">
      <c r="B23" s="95" t="s">
        <v>132</v>
      </c>
      <c r="C23" s="96"/>
      <c r="D23" s="96"/>
      <c r="E23" s="96"/>
      <c r="F23" s="96"/>
      <c r="G23" s="96"/>
      <c r="H23" s="96"/>
      <c r="I23" s="96"/>
      <c r="J23" s="96"/>
      <c r="K23" s="96"/>
      <c r="L23" s="96"/>
      <c r="M23" s="96"/>
      <c r="N23" s="96"/>
      <c r="O23" s="96"/>
      <c r="P23" s="96"/>
      <c r="Q23" s="96"/>
      <c r="R23" s="96"/>
      <c r="S23" s="96"/>
      <c r="T23" s="96"/>
      <c r="U23" s="104"/>
    </row>
    <row r="24" spans="2:22" ht="47.25" customHeight="1" x14ac:dyDescent="0.2">
      <c r="B24" s="98" t="s">
        <v>469</v>
      </c>
      <c r="C24" s="99"/>
      <c r="D24" s="99"/>
      <c r="E24" s="99"/>
      <c r="F24" s="99"/>
      <c r="G24" s="99"/>
      <c r="H24" s="99"/>
      <c r="I24" s="99"/>
      <c r="J24" s="99"/>
      <c r="K24" s="99"/>
      <c r="L24" s="99"/>
      <c r="M24" s="99"/>
      <c r="N24" s="99"/>
      <c r="O24" s="99"/>
      <c r="P24" s="99"/>
      <c r="Q24" s="99"/>
      <c r="R24" s="99"/>
      <c r="S24" s="99"/>
      <c r="T24" s="99"/>
      <c r="U24" s="105"/>
    </row>
    <row r="25" spans="2:22" ht="65.25" customHeight="1" x14ac:dyDescent="0.2">
      <c r="B25" s="98" t="s">
        <v>470</v>
      </c>
      <c r="C25" s="99"/>
      <c r="D25" s="99"/>
      <c r="E25" s="99"/>
      <c r="F25" s="99"/>
      <c r="G25" s="99"/>
      <c r="H25" s="99"/>
      <c r="I25" s="99"/>
      <c r="J25" s="99"/>
      <c r="K25" s="99"/>
      <c r="L25" s="99"/>
      <c r="M25" s="99"/>
      <c r="N25" s="99"/>
      <c r="O25" s="99"/>
      <c r="P25" s="99"/>
      <c r="Q25" s="99"/>
      <c r="R25" s="99"/>
      <c r="S25" s="99"/>
      <c r="T25" s="99"/>
      <c r="U25" s="105"/>
    </row>
    <row r="26" spans="2:22" ht="173.25" customHeight="1" x14ac:dyDescent="0.2">
      <c r="B26" s="98" t="s">
        <v>471</v>
      </c>
      <c r="C26" s="99"/>
      <c r="D26" s="99"/>
      <c r="E26" s="99"/>
      <c r="F26" s="99"/>
      <c r="G26" s="99"/>
      <c r="H26" s="99"/>
      <c r="I26" s="99"/>
      <c r="J26" s="99"/>
      <c r="K26" s="99"/>
      <c r="L26" s="99"/>
      <c r="M26" s="99"/>
      <c r="N26" s="99"/>
      <c r="O26" s="99"/>
      <c r="P26" s="99"/>
      <c r="Q26" s="99"/>
      <c r="R26" s="99"/>
      <c r="S26" s="99"/>
      <c r="T26" s="99"/>
      <c r="U26" s="105"/>
    </row>
    <row r="27" spans="2:22" ht="53.25" customHeight="1" x14ac:dyDescent="0.2">
      <c r="B27" s="98" t="s">
        <v>472</v>
      </c>
      <c r="C27" s="99"/>
      <c r="D27" s="99"/>
      <c r="E27" s="99"/>
      <c r="F27" s="99"/>
      <c r="G27" s="99"/>
      <c r="H27" s="99"/>
      <c r="I27" s="99"/>
      <c r="J27" s="99"/>
      <c r="K27" s="99"/>
      <c r="L27" s="99"/>
      <c r="M27" s="99"/>
      <c r="N27" s="99"/>
      <c r="O27" s="99"/>
      <c r="P27" s="99"/>
      <c r="Q27" s="99"/>
      <c r="R27" s="99"/>
      <c r="S27" s="99"/>
      <c r="T27" s="99"/>
      <c r="U27" s="105"/>
    </row>
    <row r="28" spans="2:22" ht="53.25" customHeight="1" x14ac:dyDescent="0.2">
      <c r="B28" s="98" t="s">
        <v>473</v>
      </c>
      <c r="C28" s="99"/>
      <c r="D28" s="99"/>
      <c r="E28" s="99"/>
      <c r="F28" s="99"/>
      <c r="G28" s="99"/>
      <c r="H28" s="99"/>
      <c r="I28" s="99"/>
      <c r="J28" s="99"/>
      <c r="K28" s="99"/>
      <c r="L28" s="99"/>
      <c r="M28" s="99"/>
      <c r="N28" s="99"/>
      <c r="O28" s="99"/>
      <c r="P28" s="99"/>
      <c r="Q28" s="99"/>
      <c r="R28" s="99"/>
      <c r="S28" s="99"/>
      <c r="T28" s="99"/>
      <c r="U28" s="105"/>
    </row>
    <row r="29" spans="2:22" ht="53.25" customHeight="1" thickBot="1" x14ac:dyDescent="0.25">
      <c r="B29" s="101" t="s">
        <v>474</v>
      </c>
      <c r="C29" s="102"/>
      <c r="D29" s="102"/>
      <c r="E29" s="102"/>
      <c r="F29" s="102"/>
      <c r="G29" s="102"/>
      <c r="H29" s="102"/>
      <c r="I29" s="102"/>
      <c r="J29" s="102"/>
      <c r="K29" s="102"/>
      <c r="L29" s="102"/>
      <c r="M29" s="102"/>
      <c r="N29" s="102"/>
      <c r="O29" s="102"/>
      <c r="P29" s="102"/>
      <c r="Q29" s="102"/>
      <c r="R29" s="102"/>
      <c r="S29" s="102"/>
      <c r="T29" s="102"/>
      <c r="U29" s="106"/>
    </row>
    <row r="30" spans="2:22" x14ac:dyDescent="0.2">
      <c r="U30" s="50"/>
    </row>
    <row r="31" spans="2:22" x14ac:dyDescent="0.2">
      <c r="U31" s="50"/>
    </row>
    <row r="32" spans="2:22" x14ac:dyDescent="0.2">
      <c r="U32" s="50"/>
    </row>
    <row r="33" spans="21:21" x14ac:dyDescent="0.2">
      <c r="U33" s="50"/>
    </row>
    <row r="34" spans="21:21" x14ac:dyDescent="0.2">
      <c r="U34" s="50"/>
    </row>
    <row r="35" spans="21:21" x14ac:dyDescent="0.2">
      <c r="U35" s="50"/>
    </row>
    <row r="36" spans="21:21" x14ac:dyDescent="0.2">
      <c r="U36" s="50"/>
    </row>
    <row r="37" spans="21:21" x14ac:dyDescent="0.2">
      <c r="U37" s="50"/>
    </row>
  </sheetData>
  <mergeCells count="48">
    <mergeCell ref="B29:U29"/>
    <mergeCell ref="C16:H16"/>
    <mergeCell ref="I16:K16"/>
    <mergeCell ref="L16:O16"/>
    <mergeCell ref="B20:D20"/>
    <mergeCell ref="B21:D21"/>
    <mergeCell ref="B23:U23"/>
    <mergeCell ref="B24:U24"/>
    <mergeCell ref="B25:U25"/>
    <mergeCell ref="B26:U26"/>
    <mergeCell ref="B27:U27"/>
    <mergeCell ref="B28:U28"/>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18</vt:i4>
      </vt:variant>
    </vt:vector>
  </HeadingPairs>
  <TitlesOfParts>
    <vt:vector size="27" baseType="lpstr">
      <vt:lpstr>Portada</vt:lpstr>
      <vt:lpstr>10 F003</vt:lpstr>
      <vt:lpstr>10 S016</vt:lpstr>
      <vt:lpstr>10 S020</vt:lpstr>
      <vt:lpstr>10 S021</vt:lpstr>
      <vt:lpstr>10 S151</vt:lpstr>
      <vt:lpstr>10 S220</vt:lpstr>
      <vt:lpstr>10 U003</vt:lpstr>
      <vt:lpstr>10 U004</vt:lpstr>
      <vt:lpstr>'10 F003'!Área_de_impresión</vt:lpstr>
      <vt:lpstr>'10 S016'!Área_de_impresión</vt:lpstr>
      <vt:lpstr>'10 S020'!Área_de_impresión</vt:lpstr>
      <vt:lpstr>'10 S021'!Área_de_impresión</vt:lpstr>
      <vt:lpstr>'10 S151'!Área_de_impresión</vt:lpstr>
      <vt:lpstr>'10 S220'!Área_de_impresión</vt:lpstr>
      <vt:lpstr>'10 U003'!Área_de_impresión</vt:lpstr>
      <vt:lpstr>'10 U004'!Área_de_impresión</vt:lpstr>
      <vt:lpstr>Portada!Área_de_impresión</vt:lpstr>
      <vt:lpstr>'10 F003'!Títulos_a_imprimir</vt:lpstr>
      <vt:lpstr>'10 S016'!Títulos_a_imprimir</vt:lpstr>
      <vt:lpstr>'10 S020'!Títulos_a_imprimir</vt:lpstr>
      <vt:lpstr>'10 S021'!Títulos_a_imprimir</vt:lpstr>
      <vt:lpstr>'10 S151'!Títulos_a_imprimir</vt:lpstr>
      <vt:lpstr>'10 S220'!Títulos_a_imprimir</vt:lpstr>
      <vt:lpstr>'10 U003'!Títulos_a_imprimir</vt:lpstr>
      <vt:lpstr>'10 U004'!Títulos_a_imprimir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Pablo Emilio Ballesteros Cesar</cp:lastModifiedBy>
  <cp:lastPrinted>2009-03-26T01:46:20Z</cp:lastPrinted>
  <dcterms:created xsi:type="dcterms:W3CDTF">2009-03-25T01:44:41Z</dcterms:created>
  <dcterms:modified xsi:type="dcterms:W3CDTF">2014-04-03T20:10:01Z</dcterms:modified>
</cp:coreProperties>
</file>