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585" yWindow="-15" windowWidth="12630" windowHeight="11805" firstSheet="5" activeTab="9"/>
  </bookViews>
  <sheets>
    <sheet name="Portada" sheetId="1" r:id="rId1"/>
    <sheet name="18 E561" sheetId="4" r:id="rId2"/>
    <sheet name="18 E567" sheetId="5" r:id="rId3"/>
    <sheet name="18 E570" sheetId="6" r:id="rId4"/>
    <sheet name="18 K044" sheetId="9" r:id="rId5"/>
    <sheet name="18 E555" sheetId="10" r:id="rId6"/>
    <sheet name="18 E562" sheetId="12" r:id="rId7"/>
    <sheet name="18 E563" sheetId="13" r:id="rId8"/>
    <sheet name="18 E568" sheetId="14" r:id="rId9"/>
    <sheet name="18 E578" sheetId="15" r:id="rId10"/>
    <sheet name="18 F571" sheetId="16" r:id="rId11"/>
    <sheet name="18 K001" sheetId="17" r:id="rId12"/>
    <sheet name="18 K014" sheetId="18" r:id="rId13"/>
    <sheet name="18 K027" sheetId="19" r:id="rId14"/>
    <sheet name="18 K029" sheetId="20" r:id="rId15"/>
    <sheet name="18 P552" sheetId="21" r:id="rId16"/>
    <sheet name="18 P553" sheetId="22" r:id="rId17"/>
  </sheets>
  <definedNames>
    <definedName name="_xlnm.Print_Area" localSheetId="5">'18 E555'!$B$1:$U$45</definedName>
    <definedName name="_xlnm.Print_Area" localSheetId="1">'18 E561'!$B$1:$U$29</definedName>
    <definedName name="_xlnm.Print_Area" localSheetId="6">'18 E562'!$B$1:$U$29</definedName>
    <definedName name="_xlnm.Print_Area" localSheetId="7">'18 E563'!$B$1:$U$29</definedName>
    <definedName name="_xlnm.Print_Area" localSheetId="2">'18 E567'!$B$1:$U$29</definedName>
    <definedName name="_xlnm.Print_Area" localSheetId="8">'18 E568'!$B$1:$U$29</definedName>
    <definedName name="_xlnm.Print_Area" localSheetId="3">'18 E570'!$B$1:$U$29</definedName>
    <definedName name="_xlnm.Print_Area" localSheetId="9">'18 E578'!$B$1:$U$29</definedName>
    <definedName name="_xlnm.Print_Area" localSheetId="10">'18 F571'!$B$1:$U$31</definedName>
    <definedName name="_xlnm.Print_Area" localSheetId="11">'18 K001'!$B$1:$U$39</definedName>
    <definedName name="_xlnm.Print_Area" localSheetId="12">'18 K014'!$B$1:$U$33</definedName>
    <definedName name="_xlnm.Print_Area" localSheetId="13">'18 K027'!$B$1:$U$29</definedName>
    <definedName name="_xlnm.Print_Area" localSheetId="14">'18 K029'!$B$1:$U$29</definedName>
    <definedName name="_xlnm.Print_Area" localSheetId="4">'18 K044'!$B$1:$U$36</definedName>
    <definedName name="_xlnm.Print_Area" localSheetId="15">'18 P552'!$B$1:$U$29</definedName>
    <definedName name="_xlnm.Print_Area" localSheetId="16">'18 P553'!$B$1:$U$29</definedName>
    <definedName name="_xlnm.Print_Area" localSheetId="0">Portada!$B$1:$AD$86</definedName>
    <definedName name="_xlnm.Print_Titles" localSheetId="5">'18 E555'!$1:$4</definedName>
    <definedName name="_xlnm.Print_Titles" localSheetId="1">'18 E561'!$1:$4</definedName>
    <definedName name="_xlnm.Print_Titles" localSheetId="6">'18 E562'!$1:$4</definedName>
    <definedName name="_xlnm.Print_Titles" localSheetId="7">'18 E563'!$1:$4</definedName>
    <definedName name="_xlnm.Print_Titles" localSheetId="2">'18 E567'!$1:$4</definedName>
    <definedName name="_xlnm.Print_Titles" localSheetId="8">'18 E568'!$1:$4</definedName>
    <definedName name="_xlnm.Print_Titles" localSheetId="3">'18 E570'!$1:$4</definedName>
    <definedName name="_xlnm.Print_Titles" localSheetId="9">'18 E578'!$1:$4</definedName>
    <definedName name="_xlnm.Print_Titles" localSheetId="10">'18 F571'!$1:$4</definedName>
    <definedName name="_xlnm.Print_Titles" localSheetId="11">'18 K001'!$1:$4</definedName>
    <definedName name="_xlnm.Print_Titles" localSheetId="12">'18 K014'!$1:$4</definedName>
    <definedName name="_xlnm.Print_Titles" localSheetId="13">'18 K027'!$1:$4</definedName>
    <definedName name="_xlnm.Print_Titles" localSheetId="14">'18 K029'!$1:$4</definedName>
    <definedName name="_xlnm.Print_Titles" localSheetId="4">'18 K044'!$1:$4</definedName>
    <definedName name="_xlnm.Print_Titles" localSheetId="15">'18 P552'!$1:$4</definedName>
    <definedName name="_xlnm.Print_Titles" localSheetId="16">'18 P553'!$1:$4</definedName>
    <definedName name="_xlnm.Print_Titles" localSheetId="0">Portada!$1:$4</definedName>
  </definedNames>
  <calcPr calcId="145621"/>
</workbook>
</file>

<file path=xl/calcChain.xml><?xml version="1.0" encoding="utf-8"?>
<calcChain xmlns="http://schemas.openxmlformats.org/spreadsheetml/2006/main">
  <c r="U11" i="22" l="1"/>
  <c r="U12" i="22"/>
  <c r="U13" i="22"/>
  <c r="U14" i="22"/>
  <c r="S18" i="22"/>
  <c r="T18" i="22"/>
  <c r="U18" i="22"/>
  <c r="S19" i="22"/>
  <c r="T19" i="22"/>
  <c r="U19" i="22" s="1"/>
  <c r="U11" i="21"/>
  <c r="U12" i="21"/>
  <c r="U13" i="21"/>
  <c r="U14" i="21"/>
  <c r="S18" i="21"/>
  <c r="U18" i="21" s="1"/>
  <c r="T18" i="21"/>
  <c r="S19" i="21"/>
  <c r="T19" i="21"/>
  <c r="U19" i="21" s="1"/>
  <c r="U11" i="20"/>
  <c r="U12" i="20"/>
  <c r="U13" i="20"/>
  <c r="U14" i="20"/>
  <c r="S18" i="20"/>
  <c r="T18" i="20"/>
  <c r="U18" i="20"/>
  <c r="S19" i="20"/>
  <c r="U19" i="20" s="1"/>
  <c r="T19" i="20"/>
  <c r="U11" i="19"/>
  <c r="U12" i="19"/>
  <c r="U13" i="19"/>
  <c r="U14" i="19"/>
  <c r="S18" i="19"/>
  <c r="T18" i="19"/>
  <c r="U18" i="19" s="1"/>
  <c r="S19" i="19"/>
  <c r="T19" i="19"/>
  <c r="U19" i="19"/>
  <c r="U11" i="18"/>
  <c r="U12" i="18"/>
  <c r="U13" i="18"/>
  <c r="U14" i="18"/>
  <c r="U15" i="18"/>
  <c r="U16" i="18"/>
  <c r="S20" i="18"/>
  <c r="T20" i="18"/>
  <c r="U20" i="18"/>
  <c r="S21" i="18"/>
  <c r="T21" i="18"/>
  <c r="U21" i="18"/>
  <c r="T24" i="17"/>
  <c r="U24" i="17" s="1"/>
  <c r="S24" i="17"/>
  <c r="U23" i="17"/>
  <c r="T23" i="17"/>
  <c r="S23" i="17"/>
  <c r="U19" i="17"/>
  <c r="U18" i="17"/>
  <c r="U17" i="17"/>
  <c r="U16" i="17"/>
  <c r="U15" i="17"/>
  <c r="U14" i="17"/>
  <c r="U13" i="17"/>
  <c r="U12" i="17"/>
  <c r="U11" i="17"/>
  <c r="U11" i="16"/>
  <c r="U12" i="16"/>
  <c r="U13" i="16"/>
  <c r="U14" i="16"/>
  <c r="U15" i="16"/>
  <c r="S19" i="16"/>
  <c r="T19" i="16"/>
  <c r="U19" i="16"/>
  <c r="S20" i="16"/>
  <c r="U20" i="16" s="1"/>
  <c r="T20" i="16"/>
  <c r="U11" i="15"/>
  <c r="U12" i="15"/>
  <c r="U13" i="15"/>
  <c r="U14" i="15"/>
  <c r="S18" i="15"/>
  <c r="U18" i="15" s="1"/>
  <c r="T18" i="15"/>
  <c r="S19" i="15"/>
  <c r="T19" i="15"/>
  <c r="U19" i="15" s="1"/>
  <c r="U11" i="14"/>
  <c r="U12" i="14"/>
  <c r="U13" i="14"/>
  <c r="U14" i="14"/>
  <c r="S18" i="14"/>
  <c r="T18" i="14"/>
  <c r="U18" i="14"/>
  <c r="S19" i="14"/>
  <c r="T19" i="14"/>
  <c r="U19" i="14"/>
  <c r="U11" i="13"/>
  <c r="U12" i="13"/>
  <c r="U13" i="13"/>
  <c r="U14" i="13"/>
  <c r="S18" i="13"/>
  <c r="U18" i="13" s="1"/>
  <c r="T18" i="13"/>
  <c r="S19" i="13"/>
  <c r="T19" i="13"/>
  <c r="U19" i="13" s="1"/>
  <c r="U11" i="12"/>
  <c r="U12" i="12"/>
  <c r="U13" i="12"/>
  <c r="U14" i="12"/>
  <c r="S18" i="12"/>
  <c r="T18" i="12"/>
  <c r="U18" i="12" s="1"/>
  <c r="S19" i="12"/>
  <c r="T19" i="12"/>
  <c r="U19" i="12"/>
  <c r="U11" i="10"/>
  <c r="U12" i="10"/>
  <c r="U13" i="10"/>
  <c r="U14" i="10"/>
  <c r="U15" i="10"/>
  <c r="U16" i="10"/>
  <c r="U17" i="10"/>
  <c r="U18" i="10"/>
  <c r="U19" i="10"/>
  <c r="U20" i="10"/>
  <c r="U21" i="10"/>
  <c r="U22" i="10"/>
  <c r="S26" i="10"/>
  <c r="T26" i="10"/>
  <c r="U26" i="10" s="1"/>
  <c r="S27" i="10"/>
  <c r="T27" i="10"/>
  <c r="U27" i="10"/>
  <c r="U19" i="5" l="1"/>
  <c r="U18" i="5"/>
  <c r="U23" i="9" l="1"/>
  <c r="U18" i="9"/>
  <c r="U17" i="9"/>
  <c r="U16" i="9"/>
  <c r="U15" i="9"/>
  <c r="U14" i="9"/>
  <c r="U13" i="9"/>
  <c r="U12" i="9"/>
  <c r="U11" i="9"/>
  <c r="U19" i="6"/>
  <c r="U18" i="6"/>
  <c r="U14" i="6"/>
  <c r="U13" i="6"/>
  <c r="U12" i="6"/>
  <c r="U11" i="6"/>
  <c r="U14" i="5"/>
  <c r="U13" i="5"/>
  <c r="U12" i="5"/>
  <c r="U11" i="5"/>
  <c r="U19" i="4"/>
  <c r="U18" i="4"/>
  <c r="U14" i="4"/>
  <c r="U13" i="4"/>
  <c r="U12" i="4"/>
  <c r="U11" i="4"/>
  <c r="U22" i="9" l="1"/>
</calcChain>
</file>

<file path=xl/sharedStrings.xml><?xml version="1.0" encoding="utf-8"?>
<sst xmlns="http://schemas.openxmlformats.org/spreadsheetml/2006/main" count="1384" uniqueCount="453">
  <si>
    <t>Avance en los Indicadores de los Programas presupuestarios de la Administración Pública Federal</t>
  </si>
  <si>
    <t xml:space="preserve">    Ejercicio Fiscal 2013</t>
  </si>
  <si>
    <t>Energía</t>
  </si>
  <si>
    <t>Programas presupuestarios cuya MIR se incluye en el reporte</t>
  </si>
  <si>
    <t>DATOS DEL PROGRAMA</t>
  </si>
  <si>
    <t>Programa presupuestario</t>
  </si>
  <si>
    <t>Ramo</t>
  </si>
  <si>
    <t>18</t>
  </si>
  <si>
    <t>Unidad responsable</t>
  </si>
  <si>
    <t>Enfoques transversales</t>
  </si>
  <si>
    <t>Clasificación Funcional</t>
  </si>
  <si>
    <t>Finalidad</t>
  </si>
  <si>
    <t>3 - Desarrollo Económico</t>
  </si>
  <si>
    <t>Función</t>
  </si>
  <si>
    <t>3 - Combustibles y Energía</t>
  </si>
  <si>
    <t>Subfunción</t>
  </si>
  <si>
    <t>Actividad Institucional</t>
  </si>
  <si>
    <t>RESULTADOS</t>
  </si>
  <si>
    <t>NIVEL</t>
  </si>
  <si>
    <t>OBJETIVOS</t>
  </si>
  <si>
    <t>INDICADORES</t>
  </si>
  <si>
    <t>AVANCE</t>
  </si>
  <si>
    <t>Denominación</t>
  </si>
  <si>
    <t>Método de cálculo</t>
  </si>
  <si>
    <t>Unidad de medida</t>
  </si>
  <si>
    <t>Tipo-Dimensión-Frecuencia</t>
  </si>
  <si>
    <t>Meta anual</t>
  </si>
  <si>
    <t>Realizado al periodo</t>
  </si>
  <si>
    <t>Avance % anual vs Modificada</t>
  </si>
  <si>
    <t>Aprobada</t>
  </si>
  <si>
    <t>Modificada</t>
  </si>
  <si>
    <t>Fin</t>
  </si>
  <si>
    <t>Porcentaje</t>
  </si>
  <si>
    <t>Estratégico-Eficacia-Anual</t>
  </si>
  <si>
    <t>Propósito</t>
  </si>
  <si>
    <t/>
  </si>
  <si>
    <t>Componente</t>
  </si>
  <si>
    <t>Actividad</t>
  </si>
  <si>
    <t>Gestión-Eficacia-Trimestral</t>
  </si>
  <si>
    <t>PRESUPUESTO</t>
  </si>
  <si>
    <t>Ejercicio</t>
  </si>
  <si>
    <t>Avance %</t>
  </si>
  <si>
    <t>Millones de pesos</t>
  </si>
  <si>
    <t>Anual</t>
  </si>
  <si>
    <t>PRESUPUESTO ORIGINAL</t>
  </si>
  <si>
    <t>PRESUPUESTO MODIFICADO</t>
  </si>
  <si>
    <t>Justificación de diferencia de avances con respecto a las metas programadas</t>
  </si>
  <si>
    <t xml:space="preserve">Indicadores con frecuencia de medición con un periodo mayor de tiempo al anual. 
Estos indicadores no registraron información ni justificación, debido a que lo harán de conformidad con la frecuencia de medición con la que programaron sus metas. </t>
  </si>
  <si>
    <t>E561</t>
  </si>
  <si>
    <t>Operación y mantenimiento de las centrales generadoras de energía eléctrica</t>
  </si>
  <si>
    <t>TOQ-Comisión Federal de Electricidad</t>
  </si>
  <si>
    <t>5 - Electricidad</t>
  </si>
  <si>
    <t>13 - Generación de energía eléctrica</t>
  </si>
  <si>
    <t>Contribuir a la prestación del Servicio Público de Energía Eléctrica confiable y de calidad generando electricidad mediante la operación de las centrales de generación.</t>
  </si>
  <si>
    <r>
      <t>Disponibilidad de los equipos para producir la energía eléctrica que demanda la sociedad.</t>
    </r>
    <r>
      <rPr>
        <i/>
        <sz val="10"/>
        <color indexed="30"/>
        <rFont val="Soberana Sans"/>
        <family val="3"/>
      </rPr>
      <t xml:space="preserve">
Indicador Seleccionado</t>
    </r>
  </si>
  <si>
    <t>(Capacidad de producción disponible / Capacidad de producción instalada) x 100</t>
  </si>
  <si>
    <t>Estratégico-Eficiencia-Mensual</t>
  </si>
  <si>
    <t>Los usuarios de Comisión Federal de Electricidad reciben un servicio eléctrico cuya calidad y costo no son afectados negativamente por interrupciones o ineficiencias atribuibles a Generación.</t>
  </si>
  <si>
    <r>
      <t>Indisponibilidad por falla más decremento</t>
    </r>
    <r>
      <rPr>
        <i/>
        <sz val="10"/>
        <color indexed="30"/>
        <rFont val="Soberana Sans"/>
        <family val="3"/>
      </rPr>
      <t xml:space="preserve">
</t>
    </r>
  </si>
  <si>
    <t>(Energía no generada por falla más decremento/Energía teórica)*100</t>
  </si>
  <si>
    <t>Estratégico-Eficacia-Mensual</t>
  </si>
  <si>
    <t>A Energía eléctrica generada y entregada a Transmisión considerando Unidades generadoras mantenidas en condiciones óptimas de operación</t>
  </si>
  <si>
    <r>
      <t>Indisponibilidad por mantenimiento programado</t>
    </r>
    <r>
      <rPr>
        <i/>
        <sz val="10"/>
        <color indexed="30"/>
        <rFont val="Soberana Sans"/>
        <family val="3"/>
      </rPr>
      <t xml:space="preserve">
</t>
    </r>
  </si>
  <si>
    <t>(Energía no generada por mantenimiento programado / Energía teórica)*100</t>
  </si>
  <si>
    <t>Gestión-Eficacia-Mensual</t>
  </si>
  <si>
    <t>A 1 Operación y mantenimiento de las unidades generadoras a través de la optimización de los programas de mantenimiento.</t>
  </si>
  <si>
    <r>
      <t>Frecuencia de salidas por falla</t>
    </r>
    <r>
      <rPr>
        <i/>
        <sz val="10"/>
        <color indexed="30"/>
        <rFont val="Soberana Sans"/>
        <family val="3"/>
      </rPr>
      <t xml:space="preserve">
</t>
    </r>
  </si>
  <si>
    <t>Horas de operación como generador/Número de salidas por falla atribuibles a Generación.</t>
  </si>
  <si>
    <t>Días/Falla</t>
  </si>
  <si>
    <r>
      <t xml:space="preserve">Disponibilidad de los equipos para producir la energía eléctrica que demanda la sociedad.
</t>
    </r>
    <r>
      <rPr>
        <sz val="10"/>
        <rFont val="Soberana Sans"/>
        <family val="2"/>
      </rPr>
      <t xml:space="preserve"> Causa : ¿ Derivado por una parte a la aplicación de un programa intensivo de mantenimiento pactado con CENACE,  originado por  las necesidades del sistema, a fin de asegurar la mayor disponibilidad de las unidades generadoras en el periodo de verano.  ¿ La efectividad del programa de mantenimiento mencionado se evidencia por la indisponibilidad por falla más decremento que alcanzó niveles por debajo a la meta, su valor acumulado al cierre del 2013 es de 3.19%,  en comparación de la meta acumulada establecida de 4.03% al presentarse un menor número de fallas que las pronosticadas, denotando con ello, una mejoría significativa en el desempeño de las unidades generadoras, asociada directamente al programa aplicado en el año.  Efecto: ¿ Los beneficios económicos y sociales alcanzados con este indicador de fin, internamente apoya a que la continuidad del suministro de energía eléctrica se proporcione a las redes de transmisión de forma confiable, fomentando con ello el desarrollo económico de la sociedad, ya que el insumo eléctrico es esencial para  el crecimiento de los sectores industrial, agrícola, servicios, comercial y público. Otros Motivos:</t>
    </r>
  </si>
  <si>
    <r>
      <t xml:space="preserve">Indisponibilidad por falla más decremento
</t>
    </r>
    <r>
      <rPr>
        <sz val="10"/>
        <rFont val="Soberana Sans"/>
        <family val="2"/>
      </rPr>
      <t xml:space="preserve"> Causa : En Diciembre de 2013, la indisponibilidad por falla más decremento alcanzó niveles  muy por debajo a la meta, denotado una mejoría significativa en el desempeño de las unidades generadoras.  El valor acumulado al cierre del 2013 es de 3.19%, tambien por debajo de la meta acumulada establecida de 4.03% Efecto: denota una mejoría significativa en el desempeño de las unidades generadoras, asociada al programa intensivo de mantenimientos en coordinación con el CENACE.  Otros Motivos:Debido a que el indicador es decreciente, el resultado involucra la reducción en el cálculo del porcentaje de cumplimiento, por ello se aplicó la fórmula siguiente: ((Meta Original ¿ Meta Alcanzada) X 100 / Meta Original) +100</t>
    </r>
  </si>
  <si>
    <r>
      <t xml:space="preserve">Indisponibilidad por mantenimiento programado
</t>
    </r>
    <r>
      <rPr>
        <sz val="10"/>
        <rFont val="Soberana Sans"/>
        <family val="2"/>
      </rPr>
      <t xml:space="preserve"> Causa : En Diciembre de 2013  el resultado fue superior a la meta, originado por  las necesidades del sistema, a fin de asegurar la mayor disponibilidad de las unidades generadoras.  El valor acumulado al cierre del 2013 es de 10.00 %, en tendencia hacia los valores planeados.  Efecto: Se asegura la mayor disponibilidad posible de las unidades generadoras, para atender necesidades del SEN. Otros Motivos:</t>
    </r>
  </si>
  <si>
    <r>
      <t xml:space="preserve">Frecuencia de salidas por falla
</t>
    </r>
    <r>
      <rPr>
        <sz val="10"/>
        <rFont val="Soberana Sans"/>
        <family val="2"/>
      </rPr>
      <t xml:space="preserve"> Causa : En Diciembre de 2013 el resultado del indicador de Frecuencia de Salidas por Falla quedó muy por arriba de la meta establecida 63.99%, denotando una mejoría sustancial en el desempeño operativo de las unidades generadoras.  Asimismo, el valor acumulado al cierre del 2013 es de 69.05 %, supera la meta acumulada establecida de 57.43%    Efecto: denota una mejoría sustancial en el desempeño operativo de las unidades generadoras, asociada principalmente al programa intensivo de mantenimientos programado en coordinación con el cenase.   Otros Motivos:</t>
    </r>
  </si>
  <si>
    <t>E567</t>
  </si>
  <si>
    <t>Operar y mantener las líneas de transmisión y subestaciones de transformación que integran el Sistema Eléctrico Nacional, así como operar y mantener la Red Nacional de Fibra Óptica, y proporcionar servicios de telecomunicaciones</t>
  </si>
  <si>
    <t>14 - Transmisión, transformación y control de la energía eléctrica</t>
  </si>
  <si>
    <t>Contribuir al suministro de energía eléctrica mediante la Transformación y Transmisión confiable y de calidad a los usuarios del Servicio Público de Energía Eléctrica</t>
  </si>
  <si>
    <r>
      <t>Tiempo de Interrupcion por Usuario por Transmisión</t>
    </r>
    <r>
      <rPr>
        <i/>
        <sz val="10"/>
        <color indexed="30"/>
        <rFont val="Soberana Sans"/>
        <family val="3"/>
      </rPr>
      <t xml:space="preserve">
</t>
    </r>
  </si>
  <si>
    <t>TIUT= Suma de los productos de la duración en minutos de cada interrupción por el número de usuarios afectados en la interrupción / número total de usuarios.</t>
  </si>
  <si>
    <t>Minuto por usuario</t>
  </si>
  <si>
    <t>Los usuarios de Comisión Federal de Electricidad reciben un servicio eléctrico cuya calidad y costo les permiten obtener un servicio continuo ya que no son afectados negativamente por interrupciones o ineficiencias atribuibles a Transmisión</t>
  </si>
  <si>
    <r>
      <t xml:space="preserve">Confiablilidad del sistema de Transmisión de Energìa Elèctrica para transportarla a los centros de consumo. </t>
    </r>
    <r>
      <rPr>
        <i/>
        <sz val="10"/>
        <color indexed="30"/>
        <rFont val="Soberana Sans"/>
        <family val="3"/>
      </rPr>
      <t xml:space="preserve">
Indicador Seleccionado</t>
    </r>
  </si>
  <si>
    <t>(Número de salidas / kilómetros de líneas de Transmisión)*100</t>
  </si>
  <si>
    <t>Salidas por cada 100 km</t>
  </si>
  <si>
    <t>A Energía eléctrica transmitida y entregada a Distribución considerando líneas y subestaciones en condiciones óptimas de operación.</t>
  </si>
  <si>
    <r>
      <t>DLT= Disponibilidad en Líneas de Transmisión</t>
    </r>
    <r>
      <rPr>
        <i/>
        <sz val="10"/>
        <color indexed="30"/>
        <rFont val="Soberana Sans"/>
        <family val="3"/>
      </rPr>
      <t xml:space="preserve">
</t>
    </r>
  </si>
  <si>
    <t>DLT=100*Tiempo que permanece fuera de servicio por falla o mantenimiento una línea de transmisión/el total de kilometraje de líneas de trasmisión en una zona determinada</t>
  </si>
  <si>
    <t>A 1 Operación y mantenimiento de líneas y subestaciones a través de la optimización de los programas de mantenimiento</t>
  </si>
  <si>
    <r>
      <t>MI=Mantenimiento Integrado</t>
    </r>
    <r>
      <rPr>
        <i/>
        <sz val="10"/>
        <color indexed="30"/>
        <rFont val="Soberana Sans"/>
        <family val="3"/>
      </rPr>
      <t xml:space="preserve">
</t>
    </r>
  </si>
  <si>
    <t>MI=(Cantidad de Horas-Hombre de mantenimiento realizadas / Cantidad de Horas-Hombre de mantenimiento programadas)*100</t>
  </si>
  <si>
    <r>
      <t xml:space="preserve">Tiempo de Interrupcion por Usuario por Transmisión
</t>
    </r>
    <r>
      <rPr>
        <sz val="10"/>
        <rFont val="Soberana Sans"/>
        <family val="2"/>
      </rPr>
      <t xml:space="preserve"> Causa : Se tiene un resultado muy favorable diverso al esperado, toda vez que se realizaron desde el año 2012 acciones diversas para mantener en mayor grado la disponibilidad del servicio, como llevar a su máxima capacidad de transferencia a los Enlaces Críticos identificados en el Sistema Eléctrico de Potencia.   Efecto: Se otorga a los usuarios del Servicio Público de Energía Eléctrica menor tiempo de interrupción del servicio, con la consecuencia favorable en la vida social y económica de la población en el ámbito nacional. Otros Motivos:</t>
    </r>
  </si>
  <si>
    <r>
      <t xml:space="preserve">Confiablilidad del sistema de Transmisión de Energìa Elèctrica para transportarla a los centros de consumo. 
</t>
    </r>
    <r>
      <rPr>
        <sz val="10"/>
        <rFont val="Soberana Sans"/>
        <family val="2"/>
      </rPr>
      <t xml:space="preserve"> Causa :  Para 2013 la CFE determinó establecer a través de la Subdirección de Transmisión, el indicador estratégico ¿Confiabilidad del sistema de Transmisión de Energía Eléctrica para transportarla a los centros de consumo¿, el resultado de este indicador fue cumplido al obtener el 160.42%, con base en las siguientes acciones:      Aplicación del Programa de Otorgamiento de Libranzas, de conformidad con la Operación del Sistema Eléctrico Nacional (SEN)     Mantenimiento Multidisciplinario en la Red de Transmisión, con la participación de las diversas especialidades del Proceso.     Remplazo y/o modernización de componentes de la Red Eléctrica de Transmisión.     Optimización del Mantenimiento a la Red Eléctrica de Transmisión, aplicando mejores practicas del proceso.     Incorporación de tecnología de vanguardia en la Red Eléctrica de Transmisión.      Efecto: ¿Los beneficios económicos y sociales alcanzados con este indicador de propósito, resultarán en una mayor confiabilidad y Continuidad de la Red Eléctrica de Transmisión (Potencia), lo cual será un factor determinante en la continuidad del servicio eléctrico de calidad, dirigido a disminuir interrupciones del servicio tanto a nuestros clientes. Otros Motivos:</t>
    </r>
  </si>
  <si>
    <r>
      <t xml:space="preserve">DLT= Disponibilidad en Líneas de Transmisión
</t>
    </r>
    <r>
      <rPr>
        <sz val="10"/>
        <rFont val="Soberana Sans"/>
        <family val="2"/>
      </rPr>
      <t xml:space="preserve"> Causa : El indicador refleja las acciones que la Subdirección realiza para tener mayor disponibilidad en las Líneas, como la mejoras de Sistemas de Tierras, modificación de Ángulos de Blindaje, la sustitución de cadenas Aislamiento de Vidrio por material sintético, Apartarrayos en Estructuras, Sustitución de Acero Estructural, rehabilitación de cimentación en Estructuras, colocación de Estructuras Intermedias, entre otras.    Efecto: Al tener mayor disponibilidad en la Red Eléctrica de Transmisión, se apoya la cadena de valor de la CFE, en el cumplimiento del otorgamiento del Servicio Público de Energía a la población nacional. Otros Motivos:</t>
    </r>
  </si>
  <si>
    <r>
      <t xml:space="preserve">MI=Mantenimiento Integrado
</t>
    </r>
    <r>
      <rPr>
        <sz val="10"/>
        <rFont val="Soberana Sans"/>
        <family val="2"/>
      </rPr>
      <t xml:space="preserve"> Causa : El mantenimiento multidisciplinario en las instalaciones responsabilidad del proceso, el cual se realiza a través de la aplicación optimizada del Programa de Libranza, derivado de la operación del Sistema Eléctrico Nacional, permite cumplir con  el programa de mantenimiento e incluso acciones de mejora en los diferentes equipos que integran la Red Eléctrica de Transmisión.    Efecto: Con un mayor y mejor mantenimiento de las instalaciones que conforman la Sistema de Transmisión, lleva a todo el proceso a cumplir con su función dentro de la razón de ser de la CFE, para llevar energía eléctrica en las condiciones solicitadas por los usuarios nacionales. Otros Motivos:</t>
    </r>
  </si>
  <si>
    <t>E570</t>
  </si>
  <si>
    <t>Operación y mantenimiento de los procesos de distribución y de comercialización de energía eléctrica</t>
  </si>
  <si>
    <t>3 - Distribución y comercialización de energía eléctrica</t>
  </si>
  <si>
    <t>Contribuir a asegurar el suministro de energía eléctrica confiable y de calidad a los usuarios del servicio público de energía eléctrica mediante la operación ininterrumpida y óptima de las líneas y subestaciones de distribución</t>
  </si>
  <si>
    <r>
      <t xml:space="preserve">Tiempo de Interrupción por Usuario de Distribución (TIUD). </t>
    </r>
    <r>
      <rPr>
        <i/>
        <sz val="10"/>
        <color indexed="30"/>
        <rFont val="Soberana Sans"/>
        <family val="3"/>
      </rPr>
      <t xml:space="preserve">
Indicador Seleccionado</t>
    </r>
  </si>
  <si>
    <t>Suma de los productos de la duración en minutos de cada interrupción atribuible a Distribución por el número de usuarios afectados en la interrupción / número total de usuarios.</t>
  </si>
  <si>
    <t>minutos/usuario</t>
  </si>
  <si>
    <t>Los usuarios de Comisión Federal de Electricidad reciben un servicio eléctrico cuya calidad y costo no son afectados negativamente por interrupciones o ineficiencias atribuibles a Distribución.</t>
  </si>
  <si>
    <r>
      <t>Inconformidades por cada mil usuarios (IMU)</t>
    </r>
    <r>
      <rPr>
        <i/>
        <sz val="10"/>
        <color indexed="30"/>
        <rFont val="Soberana Sans"/>
        <family val="3"/>
      </rPr>
      <t xml:space="preserve">
</t>
    </r>
  </si>
  <si>
    <t>NIU=(Número total de inconformidades procedentes presentadas por los usuarios / número acumulado de usuarios totales) por 1000</t>
  </si>
  <si>
    <t>Inconformidad</t>
  </si>
  <si>
    <t>A Energía eléctrica distribuida en condiciones óptimas de operación</t>
  </si>
  <si>
    <r>
      <t>Número de interrupciones por usuario (NIU)</t>
    </r>
    <r>
      <rPr>
        <i/>
        <sz val="10"/>
        <color indexed="30"/>
        <rFont val="Soberana Sans"/>
        <family val="3"/>
      </rPr>
      <t xml:space="preserve">
</t>
    </r>
  </si>
  <si>
    <t>NIU=Número de interrupciones del servicio eléctrico que sufren los usuarios por causas atribuibles a Distribución / Usuarios en el periodo considerado.</t>
  </si>
  <si>
    <t>Número de interrupciones</t>
  </si>
  <si>
    <t>A 1 Operación y mantenimiento de la infraestructura eléctrica de Distribución</t>
  </si>
  <si>
    <r>
      <t xml:space="preserve">Incremento y sustitución de capacidad en subestaciones de Distribución (%). </t>
    </r>
    <r>
      <rPr>
        <i/>
        <sz val="10"/>
        <color indexed="30"/>
        <rFont val="Soberana Sans"/>
        <family val="3"/>
      </rPr>
      <t xml:space="preserve">
</t>
    </r>
  </si>
  <si>
    <t xml:space="preserve">ICSD=100 x Incremento de capacidad en subestaciones de distribución en el año / Capacidad total instalada en subestaciones de distribución. </t>
  </si>
  <si>
    <r>
      <t xml:space="preserve">Tiempo de Interrupción por Usuario de Distribución (TIUD). 
</t>
    </r>
    <r>
      <rPr>
        <sz val="10"/>
        <rFont val="Soberana Sans"/>
        <family val="2"/>
      </rPr>
      <t xml:space="preserve"> Causa : ¿ Para 2013, la CFE determinó el indicador estratégico ¿Tiempo de Interrupción por usuario de distribución¿, el cual es uno de los indicadores que percibe en forma directa un grado de satisfacción del usuario debido a un gran número de causas. Durante 2013 se obtuvo un valor de 36.40 minutos contra una meta de 38.00, obteniéndose un cumplimiento de 104.21 %, resultado de las siguientes acciones:  Se aplicaron las estrategias de mantenimiento y mejoras para la reducción de los usuarios afectados y el número de interrupciones, de las cuales se tienen las siguientes:   División de circuitos mediante la instalación de nuevos alimentadores.  Instalación de equipo de protección y seccionamiento en redes de media tensión. Poda de árboles. Sustitución de aislamiento en circuitos de media tensión. Retiro oportuno de equipos y materiales por el fin de vida útil. Telecontrol de equipos de protección y seccionamiento. Efecto: Efectos socioeconómicos del alcance de metas del indicador ¿ Los beneficios económicos y sociales alcanzados con este indicador de fin, fueron la disminución en el número de interrupciones debidas a fallas del suministro de energía eléctrica, así como la disminución de los tiempos de restablecimiento, lo cual incidió favorablemente en el indicador, representando que los usuarios doméstico, industrial, agrícola y comercial, reflejaran un mejora en la continuidad de sus actividades.  Otros Motivos:</t>
    </r>
  </si>
  <si>
    <r>
      <t xml:space="preserve">Inconformidades por cada mil usuarios (IMU)
</t>
    </r>
    <r>
      <rPr>
        <sz val="10"/>
        <rFont val="Soberana Sans"/>
        <family val="2"/>
      </rPr>
      <t xml:space="preserve"> Causa : Para 2013, la Comisión Federal de Electricidad (CFE) determinó el indicador estratégico ¿Inconformidades por cada mil usuarios¿, el cual es uno de los indicadores que percibe en forma directa un grado de satisfacción del usuario debido a un gran número de causas. Asimismo va relacionado con la calidad hacia el cliente. Durante 2013 se obtuvo un valor de 2.70 inconformidades por cada 1000 usuarios contra una meta de 3.15, obteniéndose un cumplimiento de 114.3 porciento, resultado de las siguientes acciones:  Se ha avanzado en la Modernización de la Infraestructura Eléctrica para un mejor servicio de suministro de energía eléctrica que se ve reflejado en la disminución de las quejas  Se modernizó la medición y facturación con la instalación de medidores de autogestión y la implementación del programa de Facturación en punto de venta.  Apertura de nuevos Centros de Atención al cliente para tener mayor cobertura y disponibilidad al alcance de los clientes, así como un nuevo centro de atención telefónica 071, siendo 14 interconectados entre sí.     Efecto: Los beneficios económicos y sociales alcanzados con este indicador de fin, fueron la disminución en el número de quejas debidas a fallas del suministro de energía eléctrica, así como la disminución de los tiempos de restablecimiento, lo cual incidió favorablemente en el indicador. Otros Motivos:</t>
    </r>
  </si>
  <si>
    <r>
      <t xml:space="preserve">Número de interrupciones por usuario (NIU)
</t>
    </r>
    <r>
      <rPr>
        <sz val="10"/>
        <rFont val="Soberana Sans"/>
        <family val="2"/>
      </rPr>
      <t xml:space="preserve"> Causa : Se aplicaron las estrategias de mantenimiento y mejoras para la reducción de los usuarios afectados y el número de interrupciones, de las cuales se tienen las siguientes:  División de circuitos mediante la instalación de nuevos alimentadores. Instalación de equipo de protección y seccionamiento en redes de media tensión. Poda de árboles. Sustitución de aislamiento en circuitos de media tensión. Retiro oportuno de equipos y materiales por el fin de vida útil. Telecontrol de equipos de protección y seccionamiento. Efecto: Los beneficios económicos y sociales alcanzados con este indicador de fin, fueron la disminución en el número de interrupciones debidas a fallas del suministro de energía eléctrica, así como la disminución de los tiempos de restablecimiento, lo cual incidió favorablemente en el indicador, representando que los usuarios doméstico, industrial, agrícola y comercial, reflejaran un mejora en la continuidad de sus actividades. Otros Motivos:</t>
    </r>
  </si>
  <si>
    <r>
      <t xml:space="preserve">Incremento y sustitución de capacidad en subestaciones de Distribución (%). 
</t>
    </r>
    <r>
      <rPr>
        <sz val="10"/>
        <rFont val="Soberana Sans"/>
        <family val="2"/>
      </rPr>
      <t xml:space="preserve"> Causa : Para 2013 la CFE a través de la Subdirección de Distribución considero una actividad primordial la construcción de la infraestructura eléctrica que permitió  incrementar la capacidad en las subestaciones del sistema de distribución, cumpliendo la meta en 103.8% esto se logro gracias a:  - Planear con precisión el incremento de la demanda y de las obras que atenderían esta necesidad.  - Contar con los recursos económicos suficientes para adquisición y construcción de las obras.   - Contar con los recursos humanos con la preparación adecuada para realizar el diseño, supervisión y construcción de las obras planeadas.  - Contar con planes estructurados y definidas para atender las contingencias emergentes que se presentaron en el transcurso del año para que no afectaran la construcción de las obras.   Efecto: Con el cumplimiento de este indicador permitirá atender las solicitudes de nuevos servicios de vivienda, comercio e industrias  así como el incremento de demanda de los usuarios existentes, lo cual contribuye a suministrar energía eléctrica en el momento que el usuario lo demande lo cual representa.  - Coadyuvar y fortalecer  el desarrollo económico y tecnológico del país, de la industria, comercio y del campo.  - Contribuir al desarrollo socioeconómico de las comunidades, ciudades y de la población  -  Disminución de pérdidas técnicas al tener más fuentes de suministro.  - Fortalecer el sistema eléctrico de distribución que permita atender contingencias disminuyendo el impacto a los usuarios   Otros Motivos:Se cumplio con el programa establecido gracias a los recursos humanos, materiales y economicos asignados</t>
    </r>
  </si>
  <si>
    <t>Gestión-Eficacia-Semestral</t>
  </si>
  <si>
    <t>K044</t>
  </si>
  <si>
    <t>Proyectos de infraestructura económica de electricidad (Pidiregas)</t>
  </si>
  <si>
    <t>15 - Infraestructura básica en energía eléctrica</t>
  </si>
  <si>
    <t>Contribuir a incrementar la competitividad del sector mediante el suministro confiable de la energia electrica</t>
  </si>
  <si>
    <r>
      <t>Inconformidades procedentes por cada mil usuarios</t>
    </r>
    <r>
      <rPr>
        <i/>
        <sz val="10"/>
        <color indexed="30"/>
        <rFont val="Soberana Sans"/>
        <family val="3"/>
      </rPr>
      <t xml:space="preserve">
Indicador Seleccionado</t>
    </r>
  </si>
  <si>
    <t>(Número total de inconformidades procedentes acumuladas por los usuarios/ Número total de usuarios)*1000</t>
  </si>
  <si>
    <t>El suministro de energia electrica es confiable</t>
  </si>
  <si>
    <r>
      <t>TIU (Tiempo de Interrupción por Usuario)</t>
    </r>
    <r>
      <rPr>
        <i/>
        <sz val="10"/>
        <color indexed="30"/>
        <rFont val="Soberana Sans"/>
        <family val="3"/>
      </rPr>
      <t xml:space="preserve">
</t>
    </r>
  </si>
  <si>
    <t>Minutos / Usuarios</t>
  </si>
  <si>
    <t>A Infra estructura instalada</t>
  </si>
  <si>
    <r>
      <t>Avance Físico de los proyectos de modernización y rehabilitación de centrales generadoras de nergía eléctrica</t>
    </r>
    <r>
      <rPr>
        <i/>
        <sz val="10"/>
        <color indexed="30"/>
        <rFont val="Soberana Sans"/>
        <family val="3"/>
      </rPr>
      <t xml:space="preserve">
</t>
    </r>
  </si>
  <si>
    <t>avance fisico real/avance fisico programado *100</t>
  </si>
  <si>
    <t>Gestión-Eficiencia-Anual</t>
  </si>
  <si>
    <r>
      <t>modernización de lineas y subestacions de transmision</t>
    </r>
    <r>
      <rPr>
        <i/>
        <sz val="10"/>
        <color indexed="30"/>
        <rFont val="Soberana Sans"/>
        <family val="3"/>
      </rPr>
      <t xml:space="preserve">
</t>
    </r>
  </si>
  <si>
    <t>elementos modernizados en subestaciones y lineas</t>
  </si>
  <si>
    <t>Gestión-Eficacia-Anual</t>
  </si>
  <si>
    <r>
      <t>Incremento en capacidad instalada de subestaciones de Distribucion</t>
    </r>
    <r>
      <rPr>
        <i/>
        <sz val="10"/>
        <color indexed="30"/>
        <rFont val="Soberana Sans"/>
        <family val="3"/>
      </rPr>
      <t xml:space="preserve">
</t>
    </r>
  </si>
  <si>
    <t>100 * incremento de capacidad en subestaciones de distribucion / capacidad total instalada en subestaciones de distribucion</t>
  </si>
  <si>
    <t>MVA</t>
  </si>
  <si>
    <t>A 1 Supervision de la construcción</t>
  </si>
  <si>
    <r>
      <t>Índice de supervision de la construcción de nueva infraestructura eléctrica de la DPIF en líneas de transmisión para las areas de la Dirección de Operación de CFE</t>
    </r>
    <r>
      <rPr>
        <i/>
        <sz val="10"/>
        <color indexed="30"/>
        <rFont val="Soberana Sans"/>
        <family val="3"/>
      </rPr>
      <t xml:space="preserve">
</t>
    </r>
  </si>
  <si>
    <t>(Presupuesto ejercido / presupuesto autorizado)*100</t>
  </si>
  <si>
    <r>
      <t>Índice de supervisión de la construcción de nueva infraestructura eléctrica de la DPIF para subestaciones de  Distribución</t>
    </r>
    <r>
      <rPr>
        <i/>
        <sz val="10"/>
        <color indexed="30"/>
        <rFont val="Soberana Sans"/>
        <family val="3"/>
      </rPr>
      <t xml:space="preserve">
</t>
    </r>
  </si>
  <si>
    <t>(presupuesto ejercido/presupuesto autorizado)*100</t>
  </si>
  <si>
    <r>
      <t xml:space="preserve">Índice de supervisión de la construcción de nueva infraestructura eléctrica de la DPIF para Generación  </t>
    </r>
    <r>
      <rPr>
        <i/>
        <sz val="10"/>
        <color indexed="30"/>
        <rFont val="Soberana Sans"/>
        <family val="3"/>
      </rPr>
      <t xml:space="preserve">
</t>
    </r>
  </si>
  <si>
    <t>(ejercido/presupeusto)*100</t>
  </si>
  <si>
    <t>Gestión-Economía-Semestral</t>
  </si>
  <si>
    <r>
      <t xml:space="preserve">Inconformidades procedentes por cada mil usuarios
</t>
    </r>
    <r>
      <rPr>
        <sz val="10"/>
        <rFont val="Soberana Sans"/>
        <family val="2"/>
      </rPr>
      <t xml:space="preserve"> Causa : Para 2013, la Comisión Federal de Electricidad (CFE) determinó el indicador estratégico ¿Inconformidades por cada mil usuarios¿, el cual es uno de los indicadores que percibe en forma directa un grado de satisfacción del usuario debido a un gran número de causas. Asimismo va relacionado con la calidad hacia el cliente. Durante 2013 se obtuvo un valor de 2.70 inconformidades por cada 1000 usuarios contra una meta de 3.15, obteniéndose un cumplimiento de 114.3 porciento, resultado de las siguientes acciones:  Se ha avanzado en la Modernización de la Infraestructura Eléctrica para un mejor servicio de suministro de energía eléctrica que se ve reflejado en la disminución de las quejas  Se modernizó la medición y facturación con la instalación de medidores de autogestión y la implementación del programa de Facturación en punto de venta.  Apertura de nuevos Centros de Atención al cliente para tener mayor cobertura y disponibilidad al alcance de los clientes, así como un nuevo centro de atención telefónica 071, siendo 14 interconectados entre sí.   Efecto: Los beneficios económicos y sociales alcanzados con este indicador de fin, fueron la disminución en el número de quejas debidas a fallas del suministro de energía eléctrica, así como la disminución de los tiempos de restablecimiento, lo cual incidió favorablemente en el indicador. Otros Motivos:</t>
    </r>
  </si>
  <si>
    <r>
      <t xml:space="preserve">TIU (Tiempo de Interrupción por Usuario)
</t>
    </r>
    <r>
      <rPr>
        <sz val="10"/>
        <rFont val="Soberana Sans"/>
        <family val="2"/>
      </rPr>
      <t xml:space="preserve"> Causa : Para 2013, la CFE determinó el indicador estratégico ¿Tiempo de Interrupción por usuario de distribución¿, el cual es uno de los indicadores que percibe en forma directa un grado de satisfacción del usuario debido a un gran número de causas. Durante 2013 se obtuvo un valor de 36.40 minutos contra una meta de 38.00, obteniéndose un cumplimiento de 104.21 %, resultado de las siguientes acciones:  Se aplicaron las estrategias de mantenimiento y mejoras para la reducción de los usuarios afectados y el número de interrupciones, de las cuales se tienen las siguientes:  División de circuitos mediante la instalación de nuevos alimentadores. Instalación de equipo de protección y seccionamiento en redes de media tensión. Poda de árboles. Sustitución de aislamiento en circuitos de media tensión. Retiro oportuno de equipos y materiales por el fin de vida útil. Telecontrol de equipos de protección y seccionamiento. Efecto: Efectos socioeconómicos del alcance de metas del indicador:  Los beneficios económicos y sociales alcanzados con este indicador de fin, fueron la disminución en el número de interrupciones debidas a fallas del suministro de energía eléctrica, así como la disminución de los tiempos de restablecimiento, lo cual incidió favorablemente en el indicador, representando que los usuarios doméstico, industrial, agrícola y comercial, reflejaran un mejora en la continuidad de sus actividades. Otros Motivos:</t>
    </r>
  </si>
  <si>
    <r>
      <t xml:space="preserve">Avance Físico de los proyectos de modernización y rehabilitación de centrales generadoras de nergía eléctrica
</t>
    </r>
    <r>
      <rPr>
        <sz val="10"/>
        <rFont val="Soberana Sans"/>
        <family val="2"/>
      </rPr>
      <t xml:space="preserve"> Causa : Deficiente programación en instalación de equipo auxiliar, que retrasó la instalación del equipo principal Efecto: Se retrasó en tiempo la instalación del equipo. Se espera que en el siguiente ejercicio se recupere Otros Motivos:</t>
    </r>
  </si>
  <si>
    <r>
      <t xml:space="preserve">modernización de lineas y subestacions de transmision
</t>
    </r>
    <r>
      <rPr>
        <sz val="10"/>
        <rFont val="Soberana Sans"/>
        <family val="2"/>
      </rPr>
      <t xml:space="preserve"> Causa : El cumplimiento de la modernización de los elementos principales de la Red de Transmisión, es el resultado de la aplicación estricta de las actividades programadas para ello, derivada de la operación del Sistema Eléctrico Nacional. Efecto: La población goza de mayor continuidad y disponibilidad del servicio eléctrico, derivado de las actividades de modernización de la Red Eléctrica de Potencia. Otros Motivos:</t>
    </r>
  </si>
  <si>
    <r>
      <t xml:space="preserve">Índice de supervision de la construcción de nueva infraestructura eléctrica de la DPIF en líneas de transmisión para las areas de la Dirección de Operación de CFE
</t>
    </r>
    <r>
      <rPr>
        <sz val="10"/>
        <rFont val="Soberana Sans"/>
        <family val="2"/>
      </rPr>
      <t xml:space="preserve"> Causa : La meta se cumplio de forma positiva, dejando un Indicador por encima del esperado, debido a que la supervisión de obras se realizo de manera muy eficiente. Efecto:  Otros Motivos:</t>
    </r>
  </si>
  <si>
    <r>
      <t xml:space="preserve">Índice de supervisión de la construcción de nueva infraestructura eléctrica de la DPIF para subestaciones de  Distribución
</t>
    </r>
    <r>
      <rPr>
        <sz val="10"/>
        <rFont val="Soberana Sans"/>
        <family val="2"/>
      </rPr>
      <t xml:space="preserve"> Causa : La meta aprobada y modificada se registro en valores relativos, y la alcanzada se saco por absolutos por lo que el dato es aproximado, sin embargo efectivamente fue por encima de lo que se esperada. Efecto:  Otros Motivos:</t>
    </r>
  </si>
  <si>
    <r>
      <t xml:space="preserve">Índice de supervisión de la construcción de nueva infraestructura eléctrica de la DPIF para Generación  
</t>
    </r>
    <r>
      <rPr>
        <sz val="10"/>
        <rFont val="Soberana Sans"/>
        <family val="2"/>
      </rPr>
      <t xml:space="preserve"> Causa : La supervisión de las obras fue mayor a lo que se esperaba. Efecto:  Otros Motivos:</t>
    </r>
  </si>
  <si>
    <t xml:space="preserve">E-561 Operación y mantenimiento de las centrales generadoras de energía eléctrica
E-567 Operar y mantener las líneas de transmisión y subestaciones de transformación que integran el Sistema Eléctrico Nacional, así como operar y mantener la Red Nacional de Fibra Óptica, y proporcionar servicios de telecomunicaciones
E-570 Operación y mantenimiento de los procesos de distribución y de comercialización de energía eléctrica
K-044 Proyectos de infraestructura económica de electricidad (Pidiregas)
</t>
  </si>
  <si>
    <r>
      <t xml:space="preserve">Servicios de telecomunicaciones vendidos
</t>
    </r>
    <r>
      <rPr>
        <sz val="10"/>
        <rFont val="Soberana Sans"/>
        <family val="2"/>
      </rPr>
      <t xml:space="preserve"> Causa : Se vendieron los servicios de telecomunicaciones estimados por encima de un 8% Efecto: Cumplimiento de la meta Otros Motivos:Se están registrando valores acumulados</t>
    </r>
  </si>
  <si>
    <r>
      <t xml:space="preserve">Número de servicios proporcionados en materia de tecnologías de información y comunicaciones
</t>
    </r>
    <r>
      <rPr>
        <sz val="10"/>
        <rFont val="Soberana Sans"/>
        <family val="2"/>
      </rPr>
      <t xml:space="preserve"> Causa : Se informa que la meta de este indicador es el mantener el porcentaje entre el 95 al 100% de las solicitudes atendidas en servicios de tecnologías de información y comunicaciones, el método de cálculo es (Número de solicitudes atendidas / Numero de solicitudes recibidas) X 100, por lo que se hizo un estimado del número de solicitudes de servicios reflejados en el numerador y denominador. Por lo que se debe tomar en cuenta el resultado señalado en el indicador. Efecto: Cumplimiento de la meta Otros Motivos:</t>
    </r>
  </si>
  <si>
    <r>
      <t xml:space="preserve">Número de servicio proporcionados
</t>
    </r>
    <r>
      <rPr>
        <sz val="10"/>
        <rFont val="Soberana Sans"/>
        <family val="2"/>
      </rPr>
      <t xml:space="preserve"> Causa : Se atendieron un mayor número de solicitudes a las programadas Efecto: Cumplimiento de la meta por un 20% Otros Motivos:</t>
    </r>
  </si>
  <si>
    <r>
      <t xml:space="preserve">Cumplimiento del compromiso de servicio en tiempo
</t>
    </r>
    <r>
      <rPr>
        <sz val="10"/>
        <rFont val="Soberana Sans"/>
        <family val="2"/>
      </rPr>
      <t xml:space="preserve"> Causa : Se informa que la meta de este indicador se refiere a tener el un promedio de 90 % del cumplimiento del servicio en tiempo, se hizo un estimado de usuarios que solicitaría servicios, por lo que el valor que debe ser tomado en cuenta es el porcentaje de los servicios hechos en el tiempo programado, no así el numerador y denominador. Efecto: Cumplimiento de la meta Otros Motivos:</t>
    </r>
  </si>
  <si>
    <r>
      <t xml:space="preserve">Índice de Interrupciones de la infraestructura de seguridad
</t>
    </r>
    <r>
      <rPr>
        <sz val="10"/>
        <rFont val="Soberana Sans"/>
        <family val="2"/>
      </rPr>
      <t xml:space="preserve"> Causa : Se informa que la meta de este indicador se refiere a tener del 95 al 100% el índice de Interrupciones de la infraestructura de seguridad de la red informática de telecomunicaciones de Comisión Federal de Electricidad, por lo que se hizo un estimado de minutos acumulados de interrupciones por incidentes y mantenimiento preventivo. Efecto: Cumplimiento de la meta Otros Motivos:</t>
    </r>
  </si>
  <si>
    <r>
      <t xml:space="preserve">Servicios de telecomunicaciones facturados
</t>
    </r>
    <r>
      <rPr>
        <sz val="10"/>
        <rFont val="Soberana Sans"/>
        <family val="2"/>
      </rPr>
      <t xml:space="preserve"> Causa : Se solicitaron un mayor número de servicios Efecto: Se tuvo un mayor ingreso por servicios de telecomunicaciones facturados Otros Motivos:Los ingresos por servicios de telecomunicaciones se reportan acumulados </t>
    </r>
  </si>
  <si>
    <r>
      <t xml:space="preserve">Índice de satisfacción del cliente con los servicios de la Gerencia de Tecnologías de la Información
</t>
    </r>
    <r>
      <rPr>
        <sz val="10"/>
        <rFont val="Soberana Sans"/>
        <family val="2"/>
      </rPr>
      <t xml:space="preserve"> Causa : Se informa que la meta de este indicador se refiere a tener el un promedio de 95 a 100% el índice de satisfacción del cliente que solicitan servicios de la Gerencia de Tecnologías de la Información, por lo que se hizo un estimado de usuarios que solicitaría servicios y serían encuestados y calificaron el servicio con 9.5 o más, por lo que el valor que debe ser tomado en cuenta es el porcentaje de satisfacción de clientes. No así el nuemrador y denominador. Efecto: Cumplimiento de la meta Otros Motivos:</t>
    </r>
  </si>
  <si>
    <r>
      <t xml:space="preserve">Costo evitado
</t>
    </r>
    <r>
      <rPr>
        <sz val="10"/>
        <rFont val="Soberana Sans"/>
        <family val="2"/>
      </rPr>
      <t xml:space="preserve"> Causa : Al modificar la meta tomando en cuenta los servicios históricos solicitados, se dio cumplimiento de un 6 % encima de la meta propuesta Efecto: Cumplimiento de la meta esperada, superada por un 6 % Otros Motivos:</t>
    </r>
  </si>
  <si>
    <r>
      <t xml:space="preserve">Servicios técnicos y tecnológicos facturados
</t>
    </r>
    <r>
      <rPr>
        <sz val="10"/>
        <rFont val="Soberana Sans"/>
        <family val="2"/>
      </rPr>
      <t xml:space="preserve"> Causa : Al modificar la meta tomando en cuenta los servicios históricos solicitados, se dio cumplimiento por un 19 % encima de la meta Efecto: Cumplimiento de la meta esperada, superada por un 19 % Otros Motivos:</t>
    </r>
  </si>
  <si>
    <r>
      <t xml:space="preserve">Índicador de contención de intrusos
</t>
    </r>
    <r>
      <rPr>
        <sz val="10"/>
        <rFont val="Soberana Sans"/>
        <family val="2"/>
      </rPr>
      <t xml:space="preserve"> Causa : Se informa que la meta de este indicador se refiere a tener el 100% la contención de intrusos en la red informática de telecomunicaciones de Comisión Federal de Electricidad, por lo que se hizo un estimado de incidentes de seguridad, pero el valor que debe ser tomado en cuenta es el porcentaje de incidentes corregidos, para tener una red informática y de telecomunicaciones segura. Efecto: Cumplimiento de la meta Otros Motivos:</t>
    </r>
  </si>
  <si>
    <r>
      <t xml:space="preserve">Ingresos extraordinarios totales por aprovechamiento de la infraestructura 
</t>
    </r>
    <r>
      <rPr>
        <sz val="10"/>
        <rFont val="Soberana Sans"/>
        <family val="2"/>
      </rPr>
      <t xml:space="preserve"> Causa : Se solicitaron un mayor número de servicios Efecto: Se tuvo un mayor ingreso por aprovechamiento de infraestructura Otros Motivos:Los ingresos por servicios de telecomunicaciones se reportan acumulados </t>
    </r>
  </si>
  <si>
    <r>
      <t xml:space="preserve">Proyectos de modernización implementados
</t>
    </r>
    <r>
      <rPr>
        <sz val="10"/>
        <rFont val="Soberana Sans"/>
        <family val="2"/>
      </rPr>
      <t xml:space="preserve"> Causa : Se implementaron 4 proyectos de modernización, programa trianaul Efecto: Cumplimiento de la meta Otros Motivos:</t>
    </r>
  </si>
  <si>
    <t>N/A</t>
  </si>
  <si>
    <t>Gestión-Economía-Trimestral</t>
  </si>
  <si>
    <t>Servicio</t>
  </si>
  <si>
    <t>Número total de servicios de telecomunicaciones vendidos</t>
  </si>
  <si>
    <r>
      <t>Servicios de telecomunicaciones vendidos</t>
    </r>
    <r>
      <rPr>
        <i/>
        <sz val="10"/>
        <color indexed="30"/>
        <rFont val="Soberana Sans"/>
      </rPr>
      <t xml:space="preserve">
</t>
    </r>
  </si>
  <si>
    <t>E 5 Venta de servicios de telecomunicaciones</t>
  </si>
  <si>
    <t>Gestión-Eficiencia-Trimestral</t>
  </si>
  <si>
    <t>(Número de solicitudes atendidas /  Numero de solicitudes recibidas)  X 100</t>
  </si>
  <si>
    <r>
      <t>Número de servicios proporcionados en materia de tecnologías de información y comunicaciones</t>
    </r>
    <r>
      <rPr>
        <i/>
        <sz val="10"/>
        <color indexed="30"/>
        <rFont val="Soberana Sans"/>
      </rPr>
      <t xml:space="preserve">
</t>
    </r>
  </si>
  <si>
    <t>D 4 Atención de las solicitudes de servicios de tecnologías de información y comunicaciones</t>
  </si>
  <si>
    <t>Gestión-Calidad-Trimestral</t>
  </si>
  <si>
    <t>Número de servicios porporcionados</t>
  </si>
  <si>
    <r>
      <t>Número de servicio proporcionados</t>
    </r>
    <r>
      <rPr>
        <i/>
        <sz val="10"/>
        <color indexed="30"/>
        <rFont val="Soberana Sans"/>
      </rPr>
      <t xml:space="preserve">
</t>
    </r>
  </si>
  <si>
    <t>C 3 Atención de solicitudes del laboratorio para proporcionar servicios técnicos y tecnológicos</t>
  </si>
  <si>
    <t>(Número de servicios que se cumplieron el tiempo estándar / número total de servicios proporcionados) x 100</t>
  </si>
  <si>
    <r>
      <t>Cumplimiento del compromiso de servicio en tiempo</t>
    </r>
    <r>
      <rPr>
        <i/>
        <sz val="10"/>
        <color indexed="30"/>
        <rFont val="Soberana Sans"/>
      </rPr>
      <t xml:space="preserve">
</t>
    </r>
  </si>
  <si>
    <t>B 2 Gestión de recursos humanos para proporcionar servicios técnicos y tecnológicos al sector eléctrico</t>
  </si>
  <si>
    <t>(Número de minutos acumulados de interrupciones por incidentes y mantenimiento preventivo / número de minutos acumulados de interrupciones programadas) x 100</t>
  </si>
  <si>
    <r>
      <t>Índice de Interrupciones de la infraestructura de seguridad</t>
    </r>
    <r>
      <rPr>
        <i/>
        <sz val="10"/>
        <color indexed="30"/>
        <rFont val="Soberana Sans"/>
      </rPr>
      <t xml:space="preserve">
</t>
    </r>
  </si>
  <si>
    <t>A 1 Mantenimiento de la red informática y de telecomunicaciones</t>
  </si>
  <si>
    <t>Pesos</t>
  </si>
  <si>
    <t>Suma de los montos de las ventas facturadas por servicios de telecomunicaciones</t>
  </si>
  <si>
    <r>
      <t>Servicios de telecomunicaciones facturados</t>
    </r>
    <r>
      <rPr>
        <i/>
        <sz val="10"/>
        <color indexed="30"/>
        <rFont val="Soberana Sans"/>
      </rPr>
      <t xml:space="preserve">
</t>
    </r>
  </si>
  <si>
    <t>E Servicios de telecomunicaciones comercializados</t>
  </si>
  <si>
    <t>Gestión-Calidad-Semestral</t>
  </si>
  <si>
    <t>(Total de usuarios encuestados que calificaron el servicio con 9.5 o más / número total de usuarios que contestaron encuesta) x 100</t>
  </si>
  <si>
    <r>
      <t>Índice de satisfacción del cliente con los servicios de la Gerencia de Tecnologías de la Información</t>
    </r>
    <r>
      <rPr>
        <i/>
        <sz val="10"/>
        <color indexed="30"/>
        <rFont val="Soberana Sans"/>
      </rPr>
      <t xml:space="preserve">
</t>
    </r>
  </si>
  <si>
    <t>D Atención de Solicitudes de Servicios de Tecnologías de Información atendidas</t>
  </si>
  <si>
    <t>Suma de los costos evitados considerando las aportaciones de servicios técnicos y tecnológicos</t>
  </si>
  <si>
    <r>
      <t>Costo evitado</t>
    </r>
    <r>
      <rPr>
        <i/>
        <sz val="10"/>
        <color indexed="30"/>
        <rFont val="Soberana Sans"/>
      </rPr>
      <t xml:space="preserve">
</t>
    </r>
  </si>
  <si>
    <t>C Pruebas y estudios de ingeniería realizados a procesos internos</t>
  </si>
  <si>
    <t>Suma de los montos de las ventas facturadas por aportaciones de servicios técnicos y tecnológicos</t>
  </si>
  <si>
    <r>
      <t>Servicios técnicos y tecnológicos facturados</t>
    </r>
    <r>
      <rPr>
        <i/>
        <sz val="10"/>
        <color indexed="30"/>
        <rFont val="Soberana Sans"/>
      </rPr>
      <t xml:space="preserve">
</t>
    </r>
  </si>
  <si>
    <t>B Servicios técnicos y tecnológicos proporcionados al sector eléctrico nacional</t>
  </si>
  <si>
    <t>Promedio</t>
  </si>
  <si>
    <t>(Número de incidentes de seguridad corregidos / Número de incidentes de seguridad registrados) x 100</t>
  </si>
  <si>
    <r>
      <t>Índicador de contención de intrusos</t>
    </r>
    <r>
      <rPr>
        <i/>
        <sz val="10"/>
        <color indexed="30"/>
        <rFont val="Soberana Sans"/>
      </rPr>
      <t xml:space="preserve">
</t>
    </r>
  </si>
  <si>
    <t>A Red informática y de telecomunicaciones aseguradas</t>
  </si>
  <si>
    <t>Estratégico-Economía-Anual</t>
  </si>
  <si>
    <t>Sumatoria de los ingresos por servicios externos.</t>
  </si>
  <si>
    <r>
      <t xml:space="preserve">Ingresos extraordinarios totales por aprovechamiento de la infraestructura </t>
    </r>
    <r>
      <rPr>
        <i/>
        <sz val="10"/>
        <color indexed="30"/>
        <rFont val="Soberana Sans"/>
      </rPr>
      <t xml:space="preserve">
</t>
    </r>
  </si>
  <si>
    <t>Contribuir a la calidad y costos del servicio público de energía eléctrica de calidad mediante el aprovechamiento de la infraestructura y servicios.</t>
  </si>
  <si>
    <t>Estratégico-Eficacia-Trianual</t>
  </si>
  <si>
    <t>Proyecto</t>
  </si>
  <si>
    <t>Suma de los proyectos de modernización implementados</t>
  </si>
  <si>
    <r>
      <t>Proyectos de modernización implementados</t>
    </r>
    <r>
      <rPr>
        <i/>
        <sz val="10"/>
        <color indexed="30"/>
        <rFont val="Soberana Sans"/>
      </rPr>
      <t xml:space="preserve">
</t>
    </r>
  </si>
  <si>
    <t>Los usuarios de Comisión Federal de Electricidad se benefician con proyectos que mejoran el aprovechamiento de la infraestructura, procesos y servicios.</t>
  </si>
  <si>
    <t>Sin Información</t>
  </si>
  <si>
    <t>Operación comercial de la Red de Fibra Óptica y apoyo tecnológico a los procesos productivos en control de calidad, sistemas informáticos y de telecomunicaciones</t>
  </si>
  <si>
    <t>E555</t>
  </si>
  <si>
    <r>
      <t>Indisponibilidad por mantenimiento programado</t>
    </r>
    <r>
      <rPr>
        <i/>
        <sz val="10"/>
        <color indexed="30"/>
        <rFont val="Soberana Sans"/>
      </rPr>
      <t xml:space="preserve">
</t>
    </r>
  </si>
  <si>
    <r>
      <t xml:space="preserve">Cumplimiento del programa de mantenimiento en línea.
</t>
    </r>
    <r>
      <rPr>
        <sz val="10"/>
        <rFont val="Soberana Sans"/>
        <family val="2"/>
      </rPr>
      <t xml:space="preserve"> Causa : El alto sentido de compromiso de los trabajadores y el apego a procedimientos. Efecto: En cada uno de los meses se superara la meta de mantenimiento en línea. permitiendo al cabo del año exceder metas, con un porcentaje de cumplimiento de la meta del 107.37%. Otros Motivos:</t>
    </r>
  </si>
  <si>
    <r>
      <t xml:space="preserve">Cumplimiento del Programa de Entrega de Energía
</t>
    </r>
    <r>
      <rPr>
        <sz val="10"/>
        <rFont val="Soberana Sans"/>
        <family val="2"/>
      </rPr>
      <t xml:space="preserve"> Causa : Nota: Para la meta aprobada el numerador debe ser: 10,175,457.56 y el denominador debe ser: 10,711,007.96 para dar una Meta Aprobada de 95%            Al termino del año el  monto de pérdidas de energía tanto planeadas como no planeadas, fué inferior a lo proyectado. Efecto: Al ser menores las perdidas reales contra las proyectadas aunadas al buen desempeño de equipos, permitió exceder el porcentaje de cumplimiento de la meta en un 10.84%  Otros Motivos:</t>
    </r>
  </si>
  <si>
    <r>
      <t xml:space="preserve">Indisponibilidad por mantenimiento programado
</t>
    </r>
    <r>
      <rPr>
        <sz val="10"/>
        <rFont val="Soberana Sans"/>
        <family val="2"/>
      </rPr>
      <t xml:space="preserve"> Causa : Nota: El numerador de la meta aprobada debe ser 978,436.65 que con el denominador 11,689,444.61  da una Meta Aprobada de 8.37%      Mantenimiento programado efectuado en tiempo y buen desempeño de equipos.    Efecto: Una pérdida de energía mucho menor a la esperada. Otros Motivos:</t>
    </r>
  </si>
  <si>
    <r>
      <t xml:space="preserve">Disponibilidad de los equipos para producir energía eléctrica.
</t>
    </r>
    <r>
      <rPr>
        <sz val="10"/>
        <rFont val="Soberana Sans"/>
        <family val="2"/>
      </rPr>
      <t xml:space="preserve"> Causa : El apego al programa de mantenimiento, dio como resultado un buen desempeño de los equipos. Efecto: Menor pérdida de energía no planeadas. Otros Motivos:</t>
    </r>
  </si>
  <si>
    <t>Gestión-Eficiencia-Mensual</t>
  </si>
  <si>
    <t>Cumplimiento del programa=100XMantenimiento real (%) / Avance programado (%).</t>
  </si>
  <si>
    <r>
      <t>Cumplimiento del programa de mantenimiento en línea.</t>
    </r>
    <r>
      <rPr>
        <i/>
        <sz val="10"/>
        <color indexed="30"/>
        <rFont val="Soberana Sans"/>
      </rPr>
      <t xml:space="preserve">
</t>
    </r>
  </si>
  <si>
    <t>A 1 - Operación de las unidades. - Mantenimiento programado en línea.</t>
  </si>
  <si>
    <t>Cumplimiento del Programa=100 X Energía Eléctrica Entregada / Energía Programada por el predespacho de Generación (%).</t>
  </si>
  <si>
    <r>
      <t>Cumplimiento del Programa de Entrega de Energía</t>
    </r>
    <r>
      <rPr>
        <i/>
        <sz val="10"/>
        <color indexed="30"/>
        <rFont val="Soberana Sans"/>
      </rPr>
      <t xml:space="preserve">
</t>
    </r>
  </si>
  <si>
    <t>A - Energía eléctrica generada y entregada a Transmisión. - Unidades generadoras operadas y mantenidas en condiciones óptimas.</t>
  </si>
  <si>
    <t>Indisponibilidad=100 X Energía no generada por mantenimiento programado/Energía teórica</t>
  </si>
  <si>
    <t>Los usuarios de Comisión Federal de Electricidad reciben un servicio eléctrico cuya calidad y costo son influenciados favorablemente por el desempeño del programa.</t>
  </si>
  <si>
    <t>Disponibilidad=Energía Disponible/Energía teórica*100.</t>
  </si>
  <si>
    <r>
      <t>Disponibilidad de los equipos para producir energía eléctrica.</t>
    </r>
    <r>
      <rPr>
        <i/>
        <sz val="10"/>
        <color indexed="30"/>
        <rFont val="Soberana Sans"/>
      </rPr>
      <t xml:space="preserve">
</t>
    </r>
  </si>
  <si>
    <t>Contribuir a la prestación del servicio público de energía eléctrica confiable, generando electricidad mediante la nucleoeléctrica de Laguna Verde.</t>
  </si>
  <si>
    <t>Operación, mantenimiento y recarga de la Nucleoeléctrica Laguna Verde para la generación de energía eléctrica</t>
  </si>
  <si>
    <t>E562</t>
  </si>
  <si>
    <r>
      <t xml:space="preserve">Cumplimiento del programa de transporte de combustóleo
</t>
    </r>
    <r>
      <rPr>
        <sz val="10"/>
        <rFont val="Soberana Sans"/>
        <family val="2"/>
      </rPr>
      <t xml:space="preserve"> Causa : El indicador se cumple satisfactoriamente por la buena administración de los contratos de transportistas de combustóleo a nivel nacional. Efecto: Positivo, dando seguridad a las entregas de combustóleo y elevando los niveles de inventarios en las Centrales de Generación. Otros Motivos:</t>
    </r>
  </si>
  <si>
    <r>
      <t xml:space="preserve">Suministro a las centrales termoeléctricas de gas natural 
</t>
    </r>
    <r>
      <rPr>
        <sz val="10"/>
        <rFont val="Soberana Sans"/>
        <family val="2"/>
      </rPr>
      <t xml:space="preserve"> Causa : Se continúa cumpliendo el indicador por arriba del 100 % debido a que el Centro Nacional de Control de Energía esta requiriendo mas Gas de lo proyectado en el predespacho, esto debido a las condiciones de demanda del Sistema Eléctrico Nacional. Efecto: Positivo, dando seguridad operativa al SEN Otros Motivos:</t>
    </r>
  </si>
  <si>
    <r>
      <t xml:space="preserve">Suficiencia de existencias de combustóleo para generación de energía eléctrica
</t>
    </r>
    <r>
      <rPr>
        <sz val="10"/>
        <rFont val="Soberana Sans"/>
        <family val="2"/>
      </rPr>
      <t xml:space="preserve"> Causa : Derivado de las condiciones del Sistema Eléctrico Nacional, la Gerencia de Combustibles Líquidos implemento acciones de logística para que el indicador se mantenga por encima de la meta establecida. Efecto: Positivo Otros Motivos:El indicador maneja un valor mínimo de satisfacción para garantizar la continuidad del Sistema Eléctrico Nacional que es mantener inventarios por encima de 30 días, el resultado esta por encima de ese valor mínimo dando condiciones de seguridad para la Generación con Combustóleo.</t>
    </r>
  </si>
  <si>
    <r>
      <t xml:space="preserve">Cumplimiento en el suministro de los combustibles
</t>
    </r>
    <r>
      <rPr>
        <sz val="10"/>
        <rFont val="Soberana Sans"/>
        <family val="2"/>
      </rPr>
      <t xml:space="preserve"> Causa : La Subdirección de Energéticos de conformidad con las acciones implementadas en el año, garantizó el suministro de los combustibles a las centrales generadoras (combustóleo, carbón y gas natural) cumpliendo el indicador por encima de la meta establecida de acuerdo a las necesidades del Sistema Eléctrico Nacional. Efecto: Efecto positivo garantizando la continuidad del servicio de suministro de energía eléctrica a los usuarios finales de la cadena productiva de la CFE Otros Motivos:</t>
    </r>
  </si>
  <si>
    <t>% de cumplimiento = 100 X Volumen de combustóleo transportado / Volumen de combustóleo solicitado por el CENACE en el periodo indicado.</t>
  </si>
  <si>
    <r>
      <t>Cumplimiento del programa de transporte de combustóleo</t>
    </r>
    <r>
      <rPr>
        <i/>
        <sz val="10"/>
        <color indexed="30"/>
        <rFont val="Soberana Sans"/>
      </rPr>
      <t xml:space="preserve">
</t>
    </r>
  </si>
  <si>
    <t>A 1 Gestión de los contratos de combustible y transporte con condiciones óptimas para Comisión Federal de Electricidad.</t>
  </si>
  <si>
    <t>% de cumplimiento = 100 X Volumen de gas natural abastecido en un periodo dado / volumen de gas natural programado en ese mismo periodo.</t>
  </si>
  <si>
    <r>
      <t xml:space="preserve">Suministro a las centrales termoeléctricas de gas natural </t>
    </r>
    <r>
      <rPr>
        <i/>
        <sz val="10"/>
        <color indexed="30"/>
        <rFont val="Soberana Sans"/>
      </rPr>
      <t xml:space="preserve">
</t>
    </r>
  </si>
  <si>
    <t>A Gas Natural Abastecido de acuerdo a las necesidades de consumo</t>
  </si>
  <si>
    <t>Estratégico-Eficacia-Semestral</t>
  </si>
  <si>
    <t>Día</t>
  </si>
  <si>
    <t>Suma del Inventario disponible para el consumo de combustóleo de las Centrales Termoeléctricas en un periodo dado / Suma de los consumos diarios de las Centrales Termoeléctricas en un periodo dado.</t>
  </si>
  <si>
    <r>
      <t>Suficiencia de existencias de combustóleo para generación de energía eléctrica</t>
    </r>
    <r>
      <rPr>
        <i/>
        <sz val="10"/>
        <color indexed="30"/>
        <rFont val="Soberana Sans"/>
      </rPr>
      <t xml:space="preserve">
</t>
    </r>
  </si>
  <si>
    <t>Los usuarios de Comisión Federal de Electricidad reciben un servicio electrico influido favorablemente por el desempeño del programa.</t>
  </si>
  <si>
    <t>% de cumplimiento =100 X Contenido energético de los energéticos suministrados (unidades de energía) / Contenido energético de los energéticos especificados por el Predespacho Anual (unidades de energía)</t>
  </si>
  <si>
    <r>
      <t>Cumplimiento en el suministro de los combustibles</t>
    </r>
    <r>
      <rPr>
        <i/>
        <sz val="10"/>
        <color indexed="30"/>
        <rFont val="Soberana Sans"/>
      </rPr>
      <t xml:space="preserve">
</t>
    </r>
  </si>
  <si>
    <t>Contribuir a asegurar el servicio público de energía eléctrica mediante el suministro de combustibles a las centrales termoeléctricas de CFE.</t>
  </si>
  <si>
    <t>Suministro de energéticos a las centrales generadoras de electricidad</t>
  </si>
  <si>
    <t>E563</t>
  </si>
  <si>
    <r>
      <t xml:space="preserve">Desempeño Operativo
</t>
    </r>
    <r>
      <rPr>
        <sz val="10"/>
        <rFont val="Soberana Sans"/>
        <family val="2"/>
      </rPr>
      <t xml:space="preserve"> Causa : Valor que indica el número de maniobras indebidas atribuible al personal del CENACE, teniendo como objetivo principal la seguridad, primero del personal que labora en el Sistema Éléctrico Naciona, segundo del equipo que lo conforma y tercero dar una continuidad de servicio al usuario final. Las acciones de control realizadas en el Sistema Eléctrico Nacional ascilan entre tres y cuatro millones de acciones de control en forma anual que de acuerdo a los resultados porcentuales son mínimas Efecto: Con un control adecuado de este indicador se traduce en calidad de suministro mejor, evitando el incurrencia de eventos que traduzcan en interrupciones de servicio variaciones de voltaje o frecuencia Otros Motivos:</t>
    </r>
  </si>
  <si>
    <r>
      <t xml:space="preserve">Índice de Calidad de Voltaje
</t>
    </r>
    <r>
      <rPr>
        <sz val="10"/>
        <rFont val="Soberana Sans"/>
        <family val="2"/>
      </rPr>
      <t xml:space="preserve"> Causa : Valor promedio de tiempo en un período determinado en que el voltaje de los nodos definidos estuvo fuera de la banda de control establecida Efecto: Con estas acciones, para el usuario final se traduce en el cumplimiento de una reglamentación hacia el usuario, por tanto una calidad de servicio encaminado a la mejora Otros Motivos:</t>
    </r>
  </si>
  <si>
    <r>
      <t xml:space="preserve">Índice de Calidad de Frecuencia  
</t>
    </r>
    <r>
      <rPr>
        <sz val="10"/>
        <rFont val="Soberana Sans"/>
        <family val="2"/>
      </rPr>
      <t xml:space="preserve"> Causa : El Reglameto de la Ley del Servicio Público de Energía Eléctrica establece: CAPITULO V Del suministro y la Venta de Energía Eléctrica Artículo 18.- El suministrador deberá ofrecer y mantener el servicio en forma corriente alterna en una, dos o tres fases, a las tensiones alta, media o baja, disponible en la zona de que se trate, observando lo siguiente: I, Que la frecuencia sea de 60 Hertz, con una tolerancia de 0.8 por ciento en más o en menos, es decir, un rango entre 59.52 y 60.48 hertz, el CENACE tiee como rango de operación entre 59.52 y 60.20 hertz, siendo este mucho mejor a lo dispuesto en el reglamento, en el marco de atención de este indicdor continua realizando acciones de control para minimizar los tiempos de incurrencia fuera de esta banda Efecto: Con estas acciones, para el usuario final se traduce en el cumplimiento de una reglamentación hacia el usuario, por tanto una calidad de servicio encaminado a la mejora Otros Motivos:</t>
    </r>
  </si>
  <si>
    <r>
      <t xml:space="preserve">Tiempo de interrupción por usuario
</t>
    </r>
    <r>
      <rPr>
        <sz val="10"/>
        <rFont val="Soberana Sans"/>
        <family val="2"/>
      </rPr>
      <t xml:space="preserve"> Causa : Tiempo en minutos que durante un período determinado, cada usuario del ámbito del Sistema Eléctrico Nacional, no dispuso del servicio eléctrico debido a interrupciones por cualquier causa atribuible al proceso de control. El CENACE realiza acciones para minimizar interrupciones de suministro de energía eléctrica a los usuarios, cumplimiento con los objetivos de Seguridad, Calidad, Continuidad y Economía. Este indicador en particular obedece a la continuidad del servicio de energía, los valores muestran el comportamiento de este indicador con valores bajos en los eventos que interviene el CENACE, teniendo como objetivo minimizar esos efectos Efecto: El resultado de todas la acciones realizadas para el cumplimiento de este indicador, se refleja en fora directa en que el usuario tenga un servicio de suministro de energía eléctrica con la mayor continuidad posible Otros Motivos:Debido a que el indicador es decreciente, el resultado involucra la reducción en el cálculo del porcentaje de cumplimiento, por ello se aplicó la fórmula siguiente: ((Meta Original ¿ Meta Alcanzada) X 100 / Meta Original) +100</t>
    </r>
  </si>
  <si>
    <t>NUMERO</t>
  </si>
  <si>
    <t>DO=NMI , donde DO es el desempeño operativo y NMI el Número de maniobras indebidas.</t>
  </si>
  <si>
    <r>
      <t>Desempeño Operativo</t>
    </r>
    <r>
      <rPr>
        <i/>
        <sz val="10"/>
        <color indexed="30"/>
        <rFont val="Soberana Sans"/>
      </rPr>
      <t xml:space="preserve">
</t>
    </r>
  </si>
  <si>
    <t>A 1 Control del despacho y operación del Sistema Eléctrico Nacional</t>
  </si>
  <si>
    <t>Gestión-Calidad-Mensual</t>
  </si>
  <si>
    <t>Horas</t>
  </si>
  <si>
    <t>Suma de los productos de la duración en horas que el voltaje de los nodos definidos estuvo fuera de la banda de control establecida / número totla de nodos con control de voltaje previamente establecidos. ICV=TFBV/NNC donde ICV es el Índice de Calidad de Voltaje, TFBV es el Tiempo Fuera de la Banda de Voltaje y NNC es el número de nodos de control previamente establecidos.</t>
  </si>
  <si>
    <r>
      <t>Índice de Calidad de Voltaje</t>
    </r>
    <r>
      <rPr>
        <i/>
        <sz val="10"/>
        <color indexed="30"/>
        <rFont val="Soberana Sans"/>
      </rPr>
      <t xml:space="preserve">
</t>
    </r>
  </si>
  <si>
    <t>A Servicio de Energía Eléctrica con continuidad y calidad entregado de acuerdo a la normatividad vigente.</t>
  </si>
  <si>
    <t>Estratégico-Calidad-Mensual</t>
  </si>
  <si>
    <t>HORAS</t>
  </si>
  <si>
    <t>Suma de la Duración en horas que la frecuencia eléctrica estuvo fuera de la banda de control establecida en la fracción I, artículo 18, del Reglamento de la Ley del Servicio Público de Energía Eléctrica. (De 60 Hertz, con una tolerancia de 0.8 por ciento en más o en menos.) ICF=TFBF donde ICF es el ïndice de Calidad de Frecuencia y TFBF es el Tiempo Fuera de la Banda de Frecuencia.</t>
  </si>
  <si>
    <r>
      <t xml:space="preserve">Índice de Calidad de Frecuencia  </t>
    </r>
    <r>
      <rPr>
        <i/>
        <sz val="10"/>
        <color indexed="30"/>
        <rFont val="Soberana Sans"/>
      </rPr>
      <t xml:space="preserve">
</t>
    </r>
  </si>
  <si>
    <t>Los usuarios del Sistema Eléctrico Nacional, a través del correcto despacho y control de energía, reciben un servicio de energía eléctrica con niveles de calidad y eficiencia</t>
  </si>
  <si>
    <t>Suma de los productos de la duración en minutos de cada interrupción atribuible al Centro Nacional de Control de Energía por el número de usuarios afectados en la interrupción entre Número total de usuarios. TIU= TMSS/NU, donde TIU es el Tiempo de Interrupción por Usuarios , TMSS Tiempo Minutos Sin Servicio , NU es el Número de Usuarios.</t>
  </si>
  <si>
    <r>
      <t>Tiempo de interrupción por usuario</t>
    </r>
    <r>
      <rPr>
        <i/>
        <sz val="10"/>
        <color indexed="30"/>
        <rFont val="Soberana Sans"/>
      </rPr>
      <t xml:space="preserve">
</t>
    </r>
  </si>
  <si>
    <t>Contribuir a la prestación del servicio público de energía eléctrica, a través de la planeación, dirección, supervisión, coordinación, control del despacho y la operación del Sistema Eléctrico Nacional, con la finalidad de hacer eficiente el suministro de energía eléctrica, bajo criterios de seguridad, continuidad, calidad y economía.</t>
  </si>
  <si>
    <t>Dirección, coordinación y control de la operación del Sistema Eléctrico Nacional</t>
  </si>
  <si>
    <t>E568</t>
  </si>
  <si>
    <r>
      <t xml:space="preserve">Ejecución
</t>
    </r>
    <r>
      <rPr>
        <sz val="10"/>
        <rFont val="Soberana Sans"/>
        <family val="2"/>
      </rPr>
      <t xml:space="preserve"> Causa : 1.- El resgistro de las metas aprobada y modificada, no se ve reflejado debido a errores del sistema, al momento de su registro.     2.- las metasen valores absolutos, fueron los siguientes.     - Meta esperada 210,000,000 = 100 (Indicador)     - Meta modificada 144,147,660 = 69 (Indicador)     - Meta alcanzada 92,808,901 = 44 (Indicador)          3.- El índicador se ve afectado, debido a diferentes causas.     - Retraso en la compra de materiales     - Reprogramación de varias obras      - Cancelación de obras     - Obras que no se concluyeron, y se arrastran al sig. ejercicio     - Atrasos en la construcción de obras           Efecto:  Otros Motivos:</t>
    </r>
  </si>
  <si>
    <r>
      <t xml:space="preserve">Concluidos
</t>
    </r>
    <r>
      <rPr>
        <sz val="10"/>
        <rFont val="Soberana Sans"/>
        <family val="2"/>
      </rPr>
      <t xml:space="preserve"> Causa : El detalle del número de obras, varia contra el monto presupuestado, debido a factores como tiempo, materiales, mano de obra. Efecto:  Otros Motivos:La meta aprobada fue de 80%, teniendo como númerador 80 y como denominador 100, sin embargo hubo errores al momento del registro, por lo que no quedo grabado.</t>
    </r>
  </si>
  <si>
    <r>
      <t xml:space="preserve">Ejecución
</t>
    </r>
    <r>
      <rPr>
        <sz val="10"/>
        <rFont val="Soberana Sans"/>
        <family val="2"/>
      </rPr>
      <t xml:space="preserve"> Causa : La meta modificada fue de 65, ya que hubo cancelación de Obras.      La meta esperada fue de 100, ya que los valores fueron relativos.      69/100 y 69/65, respectivamente. Efecto:  Otros Motivos:</t>
    </r>
  </si>
  <si>
    <r>
      <t xml:space="preserve">infraestructura
</t>
    </r>
    <r>
      <rPr>
        <sz val="10"/>
        <rFont val="Soberana Sans"/>
        <family val="2"/>
      </rPr>
      <t xml:space="preserve"> Causa : No se puede efectuar con exactitud el calculo, debido a que es un Indicador Sexenal, por lo que se tomo la parte proporcional desde que comenzo a reportarse, de 2010 a 2013.      Meta Modificada, Indicador 90   Meta Aprobada, Indiicador 90 Efecto:  Otros Motivos:</t>
    </r>
  </si>
  <si>
    <t>Ejercicio entre presupuesto por 100</t>
  </si>
  <si>
    <r>
      <t>Ejecución</t>
    </r>
    <r>
      <rPr>
        <i/>
        <sz val="10"/>
        <color indexed="30"/>
        <rFont val="Soberana Sans"/>
      </rPr>
      <t xml:space="preserve">
</t>
    </r>
  </si>
  <si>
    <t xml:space="preserve">A 1 Gestion  de la ejecución de los programas de apoyo al desarrollo sustentable  </t>
  </si>
  <si>
    <t>Gestión-Eficiencia-Semestral</t>
  </si>
  <si>
    <t>Proyectos concluidos entre proyectos autorizados por 100</t>
  </si>
  <si>
    <r>
      <t>Concluidos</t>
    </r>
    <r>
      <rPr>
        <i/>
        <sz val="10"/>
        <color indexed="30"/>
        <rFont val="Soberana Sans"/>
      </rPr>
      <t xml:space="preserve">
</t>
    </r>
  </si>
  <si>
    <t xml:space="preserve">A Programas de desarrollo sustentable concluidos.  </t>
  </si>
  <si>
    <t>Estratégico-Eficiencia-Anual</t>
  </si>
  <si>
    <t>Proyectos ejecutados entre proyectos planeados por 100</t>
  </si>
  <si>
    <t>Las comunidades aledañas a las obras de infraestructura eléctrica cuentan con proyectos de infraestructura social y ambiental</t>
  </si>
  <si>
    <t>Estratégico-Eficacia-Sexenal</t>
  </si>
  <si>
    <t>Poryectos realizados entre proyectos planificados por 100</t>
  </si>
  <si>
    <r>
      <t>infraestructura</t>
    </r>
    <r>
      <rPr>
        <i/>
        <sz val="10"/>
        <color indexed="30"/>
        <rFont val="Soberana Sans"/>
      </rPr>
      <t xml:space="preserve">
</t>
    </r>
  </si>
  <si>
    <t>Contribuir a la realización de proyectos de infraestructura eléctrica, mediante la realización de programas de desarrollo sustentable</t>
  </si>
  <si>
    <t>Apoyo al desarrollo sustentable de comunidades afectadas por la instalación de la infraestructura eléctrica</t>
  </si>
  <si>
    <t>E578</t>
  </si>
  <si>
    <r>
      <t xml:space="preserve">Solicitudes autorizadas de cursos y foros 
</t>
    </r>
    <r>
      <rPr>
        <sz val="10"/>
        <rFont val="Soberana Sans"/>
        <family val="2"/>
      </rPr>
      <t xml:space="preserve"> Causa : Se recibieron un 18% de solicitudes de las programadas como resultado del interés de las áreas por fomentar el ahorro de energía eléctrica. Efecto: Se dió cumplimiento al programa de trabajo 2013, registrándoese un crecimiento del 18% con respecto a la meta programada. Otros Motivos:</t>
    </r>
  </si>
  <si>
    <r>
      <t xml:space="preserve">Instructores especializados en ahorro de energía y eficiencia energética
</t>
    </r>
    <r>
      <rPr>
        <sz val="10"/>
        <rFont val="Soberana Sans"/>
        <family val="2"/>
      </rPr>
      <t xml:space="preserve"> Causa : Se solicitó la participación de instructores con nivel academico y experiencia en la maetria de ahorro de energía. Efecto: Las evaluaciones realizadas por loa capacitados arrojan un promedio superior al establecido de 8. Otros Motivos:</t>
    </r>
  </si>
  <si>
    <r>
      <t xml:space="preserve">Cursos, foros y actividades de asesoría realizados
</t>
    </r>
    <r>
      <rPr>
        <sz val="10"/>
        <rFont val="Soberana Sans"/>
        <family val="2"/>
      </rPr>
      <t xml:space="preserve"> Causa : De las solicitudes recibidas se atendieron en su totalidad y se registró un mayor numero de eventos realizados.  Efecto: Se identifica que se realizaron 18.9% mas de los eventos programados Otros Motivos:</t>
    </r>
  </si>
  <si>
    <r>
      <t xml:space="preserve">Crecimiento del programa de capacitación
</t>
    </r>
    <r>
      <rPr>
        <sz val="10"/>
        <rFont val="Soberana Sans"/>
        <family val="2"/>
      </rPr>
      <t xml:space="preserve"> Causa : Se originó un crecimiento de 18.9% con respecto a la meta programada en virtud del numero de solicitudes recibidas y atentidas. Efecto: Se cumplió el programa de trabajo copn un crecimiento de 18.9% Otros Motivos:Se regresa para corrección</t>
    </r>
  </si>
  <si>
    <r>
      <t xml:space="preserve">Porcentaje de la población informada en ahorro de energía y eficiencia energética
</t>
    </r>
    <r>
      <rPr>
        <sz val="10"/>
        <rFont val="Soberana Sans"/>
        <family val="2"/>
      </rPr>
      <t xml:space="preserve"> Causa : Se realizo el conteo final de acuerdo al sistema de control interno, por lo que se identificaron algunas diferencias en el numero de asistentes, los cuales se ven reflejados en el reporte.    Se precisa que en el informe 2012, se reportó una población de 7,117 personas atendidas debido a que no se incluyeron todos los conceptos de capacitación y aseosría en ahorro de energía. En la programación 2013, se verificó que la porblación atendida en 2012 bajo los mismos conceptos integrados en 2013 ascendía a26,053 personas, lo cual definió en el denominador de la variable en cuanto a población atendida en 2012.  Efecto: El efecto es un menor rango de variación al igualar las condiciones del denominador, así como en relación a la meta establecida.    Bajo esta dinámica, se identifica una brecha mas consistente, por lo que el porcentaje de cumplimiento es mas razonable. Otros Motivos:</t>
    </r>
  </si>
  <si>
    <t>Solicitud</t>
  </si>
  <si>
    <t>Numero de solicitudes autorizadas en el periodo</t>
  </si>
  <si>
    <r>
      <t xml:space="preserve">Solicitudes autorizadas de cursos y foros </t>
    </r>
    <r>
      <rPr>
        <i/>
        <sz val="10"/>
        <color indexed="30"/>
        <rFont val="Soberana Sans"/>
      </rPr>
      <t xml:space="preserve">
</t>
    </r>
  </si>
  <si>
    <t>A 2 Integrar el programa de capacitación y asesoría en ahorro de energía eléctrica.</t>
  </si>
  <si>
    <t>Calificación promedio</t>
  </si>
  <si>
    <r>
      <t>Instructores especializados en ahorro de energía y eficiencia energética</t>
    </r>
    <r>
      <rPr>
        <i/>
        <sz val="10"/>
        <color indexed="30"/>
        <rFont val="Soberana Sans"/>
      </rPr>
      <t xml:space="preserve">
</t>
    </r>
  </si>
  <si>
    <t>A 1 Contratar instructores especialistas en ahorro de energia y eficiencia energetica.</t>
  </si>
  <si>
    <t>Evento</t>
  </si>
  <si>
    <t>Se contabilizan el numero Cursos, foros, talleres, brigadas infantiles, diplomados, asesorías a organismos y usuarios, cursos de preparación nic  realizados en el periodo</t>
  </si>
  <si>
    <r>
      <t>Cursos, foros y actividades de asesoría realizados</t>
    </r>
    <r>
      <rPr>
        <i/>
        <sz val="10"/>
        <color indexed="30"/>
        <rFont val="Soberana Sans"/>
      </rPr>
      <t xml:space="preserve">
</t>
    </r>
  </si>
  <si>
    <t>A Asesorías y capacitación en ahorro de energía eléctrica realizados</t>
  </si>
  <si>
    <t>Tasa de variación</t>
  </si>
  <si>
    <t>Número de cursos, foros, talleres, diplomados, talleres de verano, curso de preparación nic, asesorías a organimos y a usuarios y brigadas infantiles realizados en el periodo/número de cursos, foros, talleres, talleres de verano, cursos de preparación nic brigadas infantiles realizados en periodo anterior -1 x 100</t>
  </si>
  <si>
    <r>
      <t>Crecimiento del programa de capacitación</t>
    </r>
    <r>
      <rPr>
        <i/>
        <sz val="10"/>
        <color indexed="30"/>
        <rFont val="Soberana Sans"/>
      </rPr>
      <t xml:space="preserve">
</t>
    </r>
  </si>
  <si>
    <t>Disminuir el consumo de energía en las instalaciones de usuarios y trabajadores de la Comisión Federal de Electricidad mediante mejores prácticas de eficiencia energética.</t>
  </si>
  <si>
    <t>Persona</t>
  </si>
  <si>
    <t>Trabajadores y usuarios de la Comisión Federal de Electricidad capacitados en el periodo actual entre el numero de trabajadores y usuarios capacitados en el periodo anterior *100</t>
  </si>
  <si>
    <r>
      <t>Porcentaje de la población informada en ahorro de energía y eficiencia energética</t>
    </r>
    <r>
      <rPr>
        <i/>
        <sz val="10"/>
        <color indexed="30"/>
        <rFont val="Soberana Sans"/>
      </rPr>
      <t xml:space="preserve">
</t>
    </r>
  </si>
  <si>
    <t>Aumentar la adopción de mejores prácticas y tecnologías de eficiencia energética en las instalaciones de los usuarios de la Comisión Federal de Electricidad</t>
  </si>
  <si>
    <t>Promoción de medidas para el ahorro y uso eficiente de la energía eléctrica</t>
  </si>
  <si>
    <t>F571</t>
  </si>
  <si>
    <t>K001</t>
  </si>
  <si>
    <t>Proyectos de infraestructura económica de electricidad</t>
  </si>
  <si>
    <t>Contribuir a incrementar la competitividad del sector mediante el suministro confiable de la energía eléctrica</t>
  </si>
  <si>
    <r>
      <t>Inconformidades procedentes por cada mil usuarios</t>
    </r>
    <r>
      <rPr>
        <i/>
        <sz val="10"/>
        <color indexed="30"/>
        <rFont val="Soberana Sans"/>
      </rPr>
      <t xml:space="preserve">
</t>
    </r>
  </si>
  <si>
    <t>Los usuarios reciben un suministro de Energía eléctrica confiable</t>
  </si>
  <si>
    <r>
      <t>Tiempo de Interrupción por Usuario de Distribución (TIUD).</t>
    </r>
    <r>
      <rPr>
        <i/>
        <sz val="10"/>
        <color indexed="30"/>
        <rFont val="Soberana Sans"/>
      </rPr>
      <t xml:space="preserve">
</t>
    </r>
  </si>
  <si>
    <t>A Infraestructura instalada</t>
  </si>
  <si>
    <r>
      <t>Avance físico de los proyectos de modernización y rehabilitación de centrales generadoras de energía eléctrica</t>
    </r>
    <r>
      <rPr>
        <i/>
        <sz val="10"/>
        <color indexed="30"/>
        <rFont val="Soberana Sans"/>
      </rPr>
      <t xml:space="preserve">
</t>
    </r>
  </si>
  <si>
    <t>100 *Avance físico real/Avance físico programado</t>
  </si>
  <si>
    <r>
      <t>Modernización de Líneas y Subestaciones de Transmisión</t>
    </r>
    <r>
      <rPr>
        <i/>
        <sz val="10"/>
        <color indexed="30"/>
        <rFont val="Soberana Sans"/>
      </rPr>
      <t xml:space="preserve">
</t>
    </r>
  </si>
  <si>
    <t>Elementos modernizados en subestaciones y líneas</t>
  </si>
  <si>
    <r>
      <t>Incremento en capacidad instalada de subestaciones de distribución</t>
    </r>
    <r>
      <rPr>
        <i/>
        <sz val="10"/>
        <color indexed="30"/>
        <rFont val="Soberana Sans"/>
      </rPr>
      <t xml:space="preserve">
</t>
    </r>
  </si>
  <si>
    <t>100 x Incremento de capacidad en subestaciones de distribución / Capacidad total instalada en subestaciones de distribución.</t>
  </si>
  <si>
    <t>A 1 Administración de proyectos de infraestructura</t>
  </si>
  <si>
    <r>
      <t>Realización de Proyectos de Infraestructura en Transmisión</t>
    </r>
    <r>
      <rPr>
        <i/>
        <sz val="10"/>
        <color indexed="30"/>
        <rFont val="Soberana Sans"/>
      </rPr>
      <t xml:space="preserve">
</t>
    </r>
  </si>
  <si>
    <t>100 x recursos financieros ejercidos/recursos financieros asignados</t>
  </si>
  <si>
    <r>
      <t>Realización de proyectos de infraestructura en Distribución</t>
    </r>
    <r>
      <rPr>
        <i/>
        <sz val="10"/>
        <color indexed="30"/>
        <rFont val="Soberana Sans"/>
      </rPr>
      <t xml:space="preserve">
</t>
    </r>
  </si>
  <si>
    <t xml:space="preserve">(Avance Financiero Real/ Avance Financiero Programado)x100                                                                                                                 </t>
  </si>
  <si>
    <r>
      <t>Índice de nueva infraestructura eléctrica de la DPIF</t>
    </r>
    <r>
      <rPr>
        <i/>
        <sz val="10"/>
        <color indexed="30"/>
        <rFont val="Soberana Sans"/>
      </rPr>
      <t xml:space="preserve">
</t>
    </r>
  </si>
  <si>
    <t>(Ejercido al periodo/Presupuesto anual autorizadol) *100</t>
  </si>
  <si>
    <r>
      <t>Realizacion de proyectos de infraestructura en Generación</t>
    </r>
    <r>
      <rPr>
        <i/>
        <sz val="10"/>
        <color indexed="30"/>
        <rFont val="Soberana Sans"/>
      </rPr>
      <t xml:space="preserve">
</t>
    </r>
  </si>
  <si>
    <r>
      <t xml:space="preserve">Inconformidades procedentes por cada mil usuarios
</t>
    </r>
    <r>
      <rPr>
        <sz val="10"/>
        <rFont val="Soberana Sans"/>
        <family val="2"/>
      </rPr>
      <t xml:space="preserve"> Causa : Para 2013, la Comisión Federal de Electricidad (CFE) determinó el indicador estratégico Inconformidades por cada mil usuarios, el cual es uno de los indicadores que percibe en forma directa un grado de satisfacción del usuario debido a un gran número de causas. Asimismo va relacionado con la calidad hacia el cliente. Durante 2013 se obtuvo un valor de 2.70 inconformidades por cada 1000 usuarios contra una meta de 3.15, obteniéndose un cumplimiento de 114.3 porciento, resultado de las siguientes acciones:    Se ha avanzado en la Modernización de la Infraestructura Eléctrica para un mejor servicio de suministro de energía eléctrica que se ve reflejado en la disminución de las quejas   Se modernizó la medición y facturación con la instalación de medidores de autogestión y la implementación del programa de Facturación en punto de venta.   Apertura de nuevos Centros de Atención al cliente para tener mayor cobertura y disponibilidad al alcance de los clientes, así como un nuevo centro de atención telefónica 071, siendo 14 interconectados entre sí.   Efecto: Los beneficios económicos y sociales alcanzados con este indicador de fin, fueron la disminución en el número de quejas debidas a fallas del suministro de energía eléctrica, así como la disminución de los tiempos de restablecimiento, lo cual incidió favorablemente en el indicador Otros Motivos:</t>
    </r>
  </si>
  <si>
    <r>
      <t xml:space="preserve">Tiempo de Interrupción por Usuario de Distribución (TIUD).
</t>
    </r>
    <r>
      <rPr>
        <sz val="10"/>
        <rFont val="Soberana Sans"/>
        <family val="2"/>
      </rPr>
      <t xml:space="preserve"> Causa : Para 2013, la CFE determinó el indicador estratégico ¿Tiempo de Interrupción por usuario de distribución¿, el cual es uno de los indicadores que percibe en forma directa un grado de satisfacción del usuario debido a un gran número de causas. Durante 2013 se obtuvo un valor de 36.40 minutos contra una meta de 38.00, obteniéndose un cumplimiento de 104.21 %, resultado de las siguientes acciones:  Se aplicaron las estrategias de mantenimiento y mejoras para la reducción de los usuarios afectados y el número de interrupciones, de las cuales se tienen las siguientes:  División de circuitos mediante la instalación de nuevos alimentadores. Instalación de equipo de protección y seccionamiento en redes de media tensión. Poda de árboles. Sustitución de aislamiento en circuitos de media tensión. Retiro oportuno de equipos y materiales por el fin de vida útil. Telecontrol de equipos de protección y seccionamiento. Efecto: Efectos socioeconómicos del alcance de metas del indicador:  Los beneficios económicos y sociales alcanzados con este indicador de fin, fueron la disminución en el número de interrupciones debidas a fallas del suministro de energía eléctrica, así como la disminución de los tiempos de restablecimiento, lo cual incidió favorablemente en el indicador, representando que los usuarios doméstico, industrial, agrícola y comercial, reflejaran un mejora en la continuidad de sus actividades.  Otros Motivos:</t>
    </r>
  </si>
  <si>
    <r>
      <t xml:space="preserve">Avance físico de los proyectos de modernización y rehabilitación de centrales generadoras de energía eléctrica
</t>
    </r>
    <r>
      <rPr>
        <sz val="10"/>
        <rFont val="Soberana Sans"/>
        <family val="2"/>
      </rPr>
      <t xml:space="preserve"> Causa : Deficiente programación en instalación de equipo auxiliar, que retrasó la instalación del equipo principal. Efecto: Se retrasó en tiempo la instalación del equipo. Se espera que en el siguiente ejercicio se recupere. Otros Motivos:</t>
    </r>
  </si>
  <si>
    <r>
      <t xml:space="preserve">Modernización de Líneas y Subestaciones de Transmisión
</t>
    </r>
    <r>
      <rPr>
        <sz val="10"/>
        <rFont val="Soberana Sans"/>
        <family val="2"/>
      </rPr>
      <t xml:space="preserve"> Causa : El cumplimiento de la modernización de los elementos principales de la Red de Transmisión, es el resultado de la aplicación estricta de las actividades programadas para ello, derivada de la operación del Sistema Eléctrico Nacional.  Efecto: La población goza de mayor continuidad y disponibilidad del servicio eléctrico, derivado de las actividades de modernización de la Red Eléctrica de Potencia.  Otros Motivos:</t>
    </r>
  </si>
  <si>
    <r>
      <t xml:space="preserve">Incremento en capacidad instalada de subestaciones de distribución
</t>
    </r>
    <r>
      <rPr>
        <sz val="10"/>
        <rFont val="Soberana Sans"/>
        <family val="2"/>
      </rPr>
      <t xml:space="preserve"> Causa : Para 2013 la CFE a través de la Subdirección de Distribución considero una actividad primordial la construcción de la infraestructura eléctrica que permitió  incrementar la capacidad en las subestaciones del sistema de distribución, cumpliendo la meta en 103.8% esto se logro gracias a:  - Planear con precisión el incremento de la demanda y de las obras que atenderían esta necesidad.  - Contar con los recursos económicos suficientes para adquisición y construcción de las obras.   - Contar con los recursos humanos con la preparación adecuada para realizar el diseño, supervisión y construcción de las obras planeadas.  - Contar con planes estructurados y definidas para atender las contingencias emergentes que se presentaron en el transcurso del año para que no afectaran la construcción de las obras.     Efecto: Con el cumplimiento de este indicador permitirá atender las solicitudes de nuevos servicios de vivienda, comercio e industrias  así como el incremento de demanda de los usuarios existentes, lo cual contribuye a suministrar energía eléctrica en el momento que el usuario lo demande lo cual representa.  - Coadyuvar y fortalecer  el desarrollo económico y tecnológico del país, de la industria, comercio y del campo.  - Contribuir al desarrollo socioeconómico de las comunidades, ciudades y de la población  -  Disminución de pérdidas técnicas al tener más fuentes de suministro.  - Fortalecer el sistema eléctrico de distribución que permita atender contingencias disminuyendo el impacto a los usuarios   Otros Motivos:Se cumplio con el programa establecido gracias a los recursos humanos , materiales y economicos asignados</t>
    </r>
  </si>
  <si>
    <r>
      <t xml:space="preserve">Realización de Proyectos de Infraestructura en Transmisión
</t>
    </r>
    <r>
      <rPr>
        <sz val="10"/>
        <rFont val="Soberana Sans"/>
        <family val="2"/>
      </rPr>
      <t xml:space="preserve"> Causa : Se conto con oportunidad con los recursos presupuestarios, asi como por una buena  programación y ejecución de los procesos por parte de las Gerencias Regionales de Transmisión Efecto: Contar con el Equipo Primario adecuado que permitirá la modernización de la Subestaciones,  para asegurar la disponibilidad y confiabilidad de la transmisión de la Energia en el Sistema  Electrico Nacional, disminuyendo el numero de salidas por fallas en el sistema para mejorar la calidad en el servicio. Otros Motivos:</t>
    </r>
  </si>
  <si>
    <r>
      <t xml:space="preserve">Realización de proyectos de infraestructura en Distribución
</t>
    </r>
    <r>
      <rPr>
        <sz val="10"/>
        <rFont val="Soberana Sans"/>
        <family val="2"/>
      </rPr>
      <t xml:space="preserve"> Causa : Para 2013 la CFE a través de la Subdirección de Distribución considero una actividad primordial la construcción de la infraestructura eléctrica que permitió cumplir con el programa de incremento y sustitución de transformación en subestaciones de distribución, cumpliendo la meta en 100% esto se logro gracias a:  - Planear con precisión el recurso económico para la realización de obras.  - Jerarquizar adecuadamente los recursos para las obras prioritarias.   - Contar con planes estructurados y definidas para atender las contingencias emergentes que se presentaron en el transcurso del año para que no afectaran la construcción de las obras.     Efecto: Con el cumplimiento de este indicador permitió construir las obras necesarias para incrementar y mantener la capacidad de transformación que permita  atender las solicitudes de nuevos servicios de vivienda, comercio e industrias  así como el incremento de demanda de los usuarios existentes, lo cual contribuye a suministrar energía eléctrica en el momento que el usuario lo demande lo cual representa.  - Coadyuvar y fortalecer  el desarrollo económico y tecnológico del país, de la industria, comercio y del campo.  - Contribuir al desarrollo socioeconómico de las comunidades, ciudades y de la población.  - Fortalecer el sistema eléctrico de distribución que permita atender contingencias disminuyendo el impacto a los usuarios.   Otros Motivos:darle la priorid adecuada a la actividad de incremento y matener la capacidad de transformación en el sistema de distribución</t>
    </r>
  </si>
  <si>
    <r>
      <t xml:space="preserve">Índice de nueva infraestructura eléctrica de la DPIF
</t>
    </r>
    <r>
      <rPr>
        <sz val="10"/>
        <rFont val="Soberana Sans"/>
        <family val="2"/>
      </rPr>
      <t xml:space="preserve"> Causa : El índicador de la meta modificada es de 25.       Efecto:  Otros Motivos:</t>
    </r>
  </si>
  <si>
    <r>
      <t xml:space="preserve">Realizacion de proyectos de infraestructura en Generación
</t>
    </r>
    <r>
      <rPr>
        <sz val="10"/>
        <rFont val="Soberana Sans"/>
        <family val="2"/>
      </rPr>
      <t xml:space="preserve"> Causa : Falta de precisión del proyecto de modernización de equipos analógicos de centrales hidroeléctricas en el oficio de liberación de recursos presupuestarios. Efecto: No se ejercieron los recursos presupuestarios para este proyecto. Se espera ejercerlos en el próximo ejercicio presupuestario. Otros Motivos:</t>
    </r>
  </si>
  <si>
    <r>
      <t xml:space="preserve">Número de colonias populares  electrificadas 
</t>
    </r>
    <r>
      <rPr>
        <sz val="10"/>
        <rFont val="Soberana Sans"/>
        <family val="2"/>
      </rPr>
      <t xml:space="preserve"> Causa : SE FORTALECIO EL PROGRAMA DE REGULARIZACIÓN DE COLONIAS POR PARTE DE LOS MUNICIPIOS EN EL EDO. DE MÉXICO Y MICHOACAN Efecto: MAYOR NUMERO DE BENEFICIADOS Y REDUCCIÓN DE PERDIDAS DE ENERGIA. Otros Motivos:</t>
    </r>
  </si>
  <si>
    <r>
      <t xml:space="preserve">Número de comunidades electrificadas
</t>
    </r>
    <r>
      <rPr>
        <sz val="10"/>
        <rFont val="Soberana Sans"/>
        <family val="2"/>
      </rPr>
      <t xml:space="preserve"> Causa : MAYOR NUMERO DE LOCALIDADES ELECTRIFICADAS MENORES A 100 HABITANTES. Efecto: INCREMENTO EN EL NUMERO DE LOCALIDADES ELECTRIFICADAS Otros Motivos:</t>
    </r>
  </si>
  <si>
    <r>
      <t xml:space="preserve">Capacidad en transformación instalada
</t>
    </r>
    <r>
      <rPr>
        <sz val="10"/>
        <rFont val="Soberana Sans"/>
        <family val="2"/>
      </rPr>
      <t xml:space="preserve"> Causa : DERIVADO A QUE LOS PROGRAMAS DE ELECTRIFICACIÓN SE REALIZAN EN COJUNTO CON LOS GOBIERNOS MUNICIPALES, ESTATALES Y FEDERAL, EN DONDE CADA ENTIDAD APORTA RECURSOS DE SU PRESUPUESTO AUTORIZADO. DURANTE EL EJERCICIO 2013 DICHAS ENTIDADES NO DESTINARON LOS RECURSOS SUFICIENTES PARA LOGRAR LA METAS ESTABLECIDAS. Efecto: CONVENIOS DE ELECTRIFICACIÓN INSUFUCIENTES Otros Motivos:</t>
    </r>
  </si>
  <si>
    <r>
      <t xml:space="preserve">Kilómetros de línea en media  tensión
</t>
    </r>
    <r>
      <rPr>
        <sz val="10"/>
        <rFont val="Soberana Sans"/>
        <family val="2"/>
      </rPr>
      <t xml:space="preserve"> Causa : EL PROGRAMA DE ELECTRIFICACIÓN INCLUYO MAYOR NUMERO DE LOCALIDADES PENDIENTES DE ELECTRIFICAR, QUE AMPLIACIONES A LAS YA ELECTRIFICADAS Efecto: INCREMENTO EN LAS EXTENCIONES DE LINEA DE DISTRIBUCIÓN Otros Motivos:</t>
    </r>
  </si>
  <si>
    <r>
      <t xml:space="preserve">Número de usuarios incorporados por el programa de electrificación
</t>
    </r>
    <r>
      <rPr>
        <sz val="10"/>
        <rFont val="Soberana Sans"/>
        <family val="2"/>
      </rPr>
      <t xml:space="preserve"> Causa : DERIVADO A QUE LOS PROGRAMAS DE ELECTRIFICACIÓN SE REALIZAN EN COJUNTO CON LOS GOBIERNOS MUNICIPALES, ESTATALES Y FEDERAL, EN DONDE CADA ENTIDAD APORTA RECURSOS DE SU PRESUPUESTO AUTORIZADO. DURANTE EL EJERCICIO 2013 DICHAS ENTIDADES NO DESTINARON LOS RECURSOS SUFICIENTES PARA LOGRAR LA METAS ESTABLECIDAS. Efecto: CONVENIOS DE ELECTRIFICACIÓN INSUFUCIENTES Otros Motivos:</t>
    </r>
  </si>
  <si>
    <r>
      <t xml:space="preserve">Indicador cobertura servicio eléctrico
</t>
    </r>
    <r>
      <rPr>
        <sz val="10"/>
        <rFont val="Soberana Sans"/>
        <family val="2"/>
      </rPr>
      <t xml:space="preserve"> Causa : GESTION OPORTUNA CON LOS GOBIERNOS ESTATALES, MUNICIPALES Y ENTIDADES FEDERALES (SEDESOL, CDI), PARA FORMALIZACIÓN DE CONVENIOS DE ELECTRIFICACIÓN.  SEGUIMIENTO PUNTUAL AL CUMPLIMIENTO DE LOS PROGRAMAS DE OBRA DE ELECTRIFICACIÓN. Efecto: INCREMENTO DE LA COBERTURA ELECTRICA NACIONAL Otros Motivos:</t>
    </r>
  </si>
  <si>
    <t>Comunidad</t>
  </si>
  <si>
    <t>Sumatoria de las colonias electrificadas al período.</t>
  </si>
  <si>
    <r>
      <t xml:space="preserve">Número de colonias populares  electrificadas </t>
    </r>
    <r>
      <rPr>
        <i/>
        <sz val="10"/>
        <color indexed="30"/>
        <rFont val="Soberana Sans"/>
      </rPr>
      <t xml:space="preserve">
</t>
    </r>
  </si>
  <si>
    <t>Sumatoria de las comunidades beneficiadas de acuerdo a los convenios de electrificación de comunidades</t>
  </si>
  <si>
    <r>
      <t>Número de comunidades electrificadas</t>
    </r>
    <r>
      <rPr>
        <i/>
        <sz val="10"/>
        <color indexed="30"/>
        <rFont val="Soberana Sans"/>
      </rPr>
      <t xml:space="preserve">
</t>
    </r>
  </si>
  <si>
    <t>A 1 Electrificación de nuevas poblaciones atendidas</t>
  </si>
  <si>
    <t>Estratégico-Eficacia-Trimestral</t>
  </si>
  <si>
    <t>Sumatoria de capacidad  ( Mega Volts Amper) de transformadores instalados.</t>
  </si>
  <si>
    <r>
      <t>Capacidad en transformación instalada</t>
    </r>
    <r>
      <rPr>
        <i/>
        <sz val="10"/>
        <color indexed="30"/>
        <rFont val="Soberana Sans"/>
      </rPr>
      <t xml:space="preserve">
</t>
    </r>
  </si>
  <si>
    <t>Kilómetro lineal</t>
  </si>
  <si>
    <t>Sumatoria de kilómetros instalados de línea en media tensión para electrificación.</t>
  </si>
  <si>
    <r>
      <t>Kilómetros de línea en media  tensión</t>
    </r>
    <r>
      <rPr>
        <i/>
        <sz val="10"/>
        <color indexed="30"/>
        <rFont val="Soberana Sans"/>
      </rPr>
      <t xml:space="preserve">
</t>
    </r>
  </si>
  <si>
    <t>A Infraestructura eléctrica aumentada.</t>
  </si>
  <si>
    <t>Usuario</t>
  </si>
  <si>
    <t>Sumatoria de los usuarios atendidos por las obras de electrificación.</t>
  </si>
  <si>
    <r>
      <t>Número de usuarios incorporados por el programa de electrificación</t>
    </r>
    <r>
      <rPr>
        <i/>
        <sz val="10"/>
        <color indexed="30"/>
        <rFont val="Soberana Sans"/>
      </rPr>
      <t xml:space="preserve">
</t>
    </r>
  </si>
  <si>
    <t>Los nuevos usuarios del Sistema Eléctrico son atendidos en su demanda de servicio de energía eléctrica.</t>
  </si>
  <si>
    <t>(Número de habitantes electrificados en el período / habitantes totales del país)*100</t>
  </si>
  <si>
    <r>
      <t>Indicador cobertura servicio eléctrico</t>
    </r>
    <r>
      <rPr>
        <i/>
        <sz val="10"/>
        <color indexed="30"/>
        <rFont val="Soberana Sans"/>
      </rPr>
      <t xml:space="preserve">
</t>
    </r>
  </si>
  <si>
    <t>Contribuir a aumentar  la cobertura del servicio eléctrico en todo el pais, para mejorar la calidad de vida de los habitantes.</t>
  </si>
  <si>
    <t>Otros proyectos de infraestructura social</t>
  </si>
  <si>
    <t>K014</t>
  </si>
  <si>
    <r>
      <t xml:space="preserve">Porcentaje cumplimiento en el ejercicio del presupuesto de inversión
</t>
    </r>
    <r>
      <rPr>
        <sz val="10"/>
        <rFont val="Soberana Sans"/>
        <family val="2"/>
      </rPr>
      <t xml:space="preserve"> Causa : autorizaciones adicionales de presupuesto Efecto:  Otros Motivos:</t>
    </r>
  </si>
  <si>
    <r>
      <t xml:space="preserve">Indisponibilidad por mantenimiento programado
</t>
    </r>
    <r>
      <rPr>
        <sz val="10"/>
        <rFont val="Soberana Sans"/>
        <family val="2"/>
      </rPr>
      <t xml:space="preserve"> Causa : A Diciembre de 2013 el resultado de la indisponibilidad por mantenimiento programado de centrales termoeléctricas fue de 12.15 % por arriba de la meta 11.75 % de acuerdo a las adecuaciones al mismo requeridas por la situación del sistema.  Efecto: Asegurar la máxima disponibilidad de las unidades generadoras en el periodo de verano de 2013 y preparación verano 2014. Otros Motivos:</t>
    </r>
  </si>
  <si>
    <r>
      <t xml:space="preserve">Indisponibilidad por falla mas decremento
</t>
    </r>
    <r>
      <rPr>
        <sz val="10"/>
        <rFont val="Soberana Sans"/>
        <family val="2"/>
      </rPr>
      <t xml:space="preserve"> Causa : La indisponibilidad por falla más decremento de las unidades termoeléctricas de la SDG quedó ligeramente por arriba de la meta.  Las unidades que más impactan al resultado son: CT Salamanca U1, CT Altamira U´s 1, 2 y 3, CT pdte. Adolfo López Mateos U´s 1, 5 y 6, CT Carlos Rodríguez Rivero U´s 3 y 4. Efecto:  Otros Motivos:</t>
    </r>
  </si>
  <si>
    <r>
      <t xml:space="preserve">Disponibilidad de generación
</t>
    </r>
    <r>
      <rPr>
        <sz val="10"/>
        <rFont val="Soberana Sans"/>
        <family val="2"/>
      </rPr>
      <t xml:space="preserve"> Causa : En  Diciembre el resultado mensual de la disponibilidad propia de las unidades termoeléctricas estuvo por debajo de la meta establecida, el valor acumulado  es de 83.37 % ligeramente por debajo de la meta acumulada de 84.37 %, debido principalmente a que la indisponibilidad por falla más decremento de las unidades termoeléctricas de la SDG quedó por arriba de la meta.  Las unidades que más impactan al resultado son: CT Salamanca U1, CT Altamira U´s 1, 2 y 3, CT Pdte. Adolfo López Mateos U´s 1, 5 y 6, CT Carlos Rodríguez Rivero U´s 3 y 4.  así como el resultado de la indisponibilidad por mantenimiento programado de centrales termoeléctricas fue de 14.63% por arriba de la meta 9.04 % de acuerdo a las adecuaciones al mismo requeridas por la situación del sistema. Efecto:  Otros Motivos:</t>
    </r>
  </si>
  <si>
    <t>Cantidad de dinero programado para ejercer/Cantidad de dinero ejercido*100</t>
  </si>
  <si>
    <r>
      <t>Porcentaje cumplimiento en el ejercicio del presupuesto de inversión</t>
    </r>
    <r>
      <rPr>
        <i/>
        <sz val="10"/>
        <color indexed="30"/>
        <rFont val="Soberana Sans"/>
      </rPr>
      <t xml:space="preserve">
</t>
    </r>
  </si>
  <si>
    <t>A 1 Presupuesto de inversión invertido oportunamente, para aplicar mantenimiento preventivo a las unidades generadoras de energía eléctrica del tipo termoeléctrico</t>
  </si>
  <si>
    <t>Cantidad de energía no generada por mantenimiento programado/Cantidad de energía total que puede generar una unidad generadora*100</t>
  </si>
  <si>
    <t>A Unidades generadores mantenidas en condiciones óptimas de operación.</t>
  </si>
  <si>
    <t>Cantidad de energía no generada por falla mas decremento/capacidad de producción instalada*100</t>
  </si>
  <si>
    <r>
      <t>Indisponibilidad por falla mas decremento</t>
    </r>
    <r>
      <rPr>
        <i/>
        <sz val="10"/>
        <color indexed="30"/>
        <rFont val="Soberana Sans"/>
      </rPr>
      <t xml:space="preserve">
</t>
    </r>
  </si>
  <si>
    <t>Los usuarios reciben el suministro de energía eléctrica dentro de estándares internacionales</t>
  </si>
  <si>
    <t>Capacidad de producción actual/capacidad de producción instalada*100</t>
  </si>
  <si>
    <r>
      <t>Disponibilidad de generación</t>
    </r>
    <r>
      <rPr>
        <i/>
        <sz val="10"/>
        <color indexed="30"/>
        <rFont val="Soberana Sans"/>
      </rPr>
      <t xml:space="preserve">
</t>
    </r>
  </si>
  <si>
    <t>Contribuir a la generación de electricidad que demanda la sociedad</t>
  </si>
  <si>
    <t>Mantenimiento de infraestructura</t>
  </si>
  <si>
    <t>K027</t>
  </si>
  <si>
    <r>
      <t xml:space="preserve">Avance del ejercicio 
</t>
    </r>
    <r>
      <rPr>
        <sz val="10"/>
        <rFont val="Soberana Sans"/>
        <family val="2"/>
      </rPr>
      <t xml:space="preserve"> Causa : El porcentaje de cumplimineto de la meta, fue derivado de la variación en el precio de los bienes, los cuales estan sujetos a condiciones del libre mercado y del resultado del proceso de licitación pública, mediante el cual son adquiridos. Efecto: La variación en el precio de los bienes ocacionó el subejercicio en un 2.2 %, aunque la cantidad de bienes corresponde al mismo número de piezas. Otros Motivos:</t>
    </r>
  </si>
  <si>
    <r>
      <t xml:space="preserve">Medidores Adquridos
</t>
    </r>
    <r>
      <rPr>
        <sz val="10"/>
        <rFont val="Soberana Sans"/>
        <family val="2"/>
      </rPr>
      <t xml:space="preserve"> Causa : Se adquirió el numero de medidores programados en su totalidad, mediante un proceso de licitación pública, por lo lo que el porcentaje de cumplimineto de la meta fue del 100%. Efecto: La adquisición programada de los medidores, mediante un proceso de licitación pública, resultó en el total de piezas, por lo que no hubo variación sobre la meta. Otros Motivos:</t>
    </r>
  </si>
  <si>
    <r>
      <t xml:space="preserve">Medidores Instalados
</t>
    </r>
    <r>
      <rPr>
        <sz val="10"/>
        <rFont val="Soberana Sans"/>
        <family val="2"/>
      </rPr>
      <t xml:space="preserve"> Causa : Atención del total de solcitudes factibles para el suministro del servicio público de energía eléctrica, en baja, media y alta tensión, para uso domestico, comercial, industrial y de servicos. Efecto: Con la atención del total de solcitudes factibles para el suministro del servicio público de energía eléctrica se incrementó el número de medidores instalados, lo que derivo en un incrmento de usuarios muy cercano al presupuestado. Otros Motivos:</t>
    </r>
  </si>
  <si>
    <r>
      <t xml:space="preserve">Usuarios Atendidos
</t>
    </r>
    <r>
      <rPr>
        <sz val="10"/>
        <rFont val="Soberana Sans"/>
        <family val="2"/>
      </rPr>
      <t xml:space="preserve"> Causa : Se atendieron todas las solicitudes para el suministro se servicio público de energía eléctrica técnicamente factibles, en baja, media y alta tensión, para uso domestico, comercial, industrial y de servicos. Efecto: Los beneficios económicos y sociales alcanzados con este indicador de fin, contribuyeron a cumplir con los mandatos para el suministro del servicio público de energía eléctrica.  Con ello, el Ejecutivo Federal, a través de la Comisión Federal de Electricidad contribuye a elevar la calidad de vida de las personas.  Además, se fomentó la cobertura del servicio público de energía eléctrica en el país.    Otros Motivos:</t>
    </r>
  </si>
  <si>
    <t>Sumatoria del importe del avance acumulado en el ejercicio preupustario de los recursos para adqusición de acometidas y medidores</t>
  </si>
  <si>
    <r>
      <t xml:space="preserve">Avance del ejercicio </t>
    </r>
    <r>
      <rPr>
        <i/>
        <sz val="10"/>
        <color indexed="30"/>
        <rFont val="Soberana Sans"/>
      </rPr>
      <t xml:space="preserve">
</t>
    </r>
  </si>
  <si>
    <t>A 1 Contribuir en la gestíon de recuros para el Suministro del Servicio Público de Energía Eléctrica</t>
  </si>
  <si>
    <t>Plaza</t>
  </si>
  <si>
    <t>Medidores nuevos ingresados al almacen por adquisición</t>
  </si>
  <si>
    <r>
      <t>Medidores Adquridos</t>
    </r>
    <r>
      <rPr>
        <i/>
        <sz val="10"/>
        <color indexed="30"/>
        <rFont val="Soberana Sans"/>
      </rPr>
      <t xml:space="preserve">
</t>
    </r>
  </si>
  <si>
    <t>A Contribuir al proceso de gestión para con los medidores para el Suministro del Servicio Público de energía eléctrica</t>
  </si>
  <si>
    <t>Número de medidores instalados contados en el Sistema de Control de Sellos y Medidores</t>
  </si>
  <si>
    <r>
      <t>Medidores Instalados</t>
    </r>
    <r>
      <rPr>
        <i/>
        <sz val="10"/>
        <color indexed="30"/>
        <rFont val="Soberana Sans"/>
      </rPr>
      <t xml:space="preserve">
</t>
    </r>
  </si>
  <si>
    <t>Los usuarios de la Comisión Federal de Electricidad reciben el servicio de energía eléctrica con las características contratadas</t>
  </si>
  <si>
    <t>Número de usuarios atendidos en Sistema de Información Estadística Comercial</t>
  </si>
  <si>
    <r>
      <t>Usuarios Atendidos</t>
    </r>
    <r>
      <rPr>
        <i/>
        <sz val="10"/>
        <color indexed="30"/>
        <rFont val="Soberana Sans"/>
      </rPr>
      <t xml:space="preserve">
</t>
    </r>
  </si>
  <si>
    <t>Contribuir a la prestación del Servicio Público de Energía Eléctrica.</t>
  </si>
  <si>
    <t>Programas de adquisiciones</t>
  </si>
  <si>
    <t>K029</t>
  </si>
  <si>
    <r>
      <t xml:space="preserve">Desarrollo-Contratación-Supervisión
</t>
    </r>
    <r>
      <rPr>
        <sz val="10"/>
        <rFont val="Soberana Sans"/>
        <family val="2"/>
      </rPr>
      <t xml:space="preserve"> Causa : La causa de que no se vean los registros de los Índicadores de la meta aprobada y modificada, es porque hubo errores en el sistema que no permitieron su registro.      El índicador de la meta esperada es de 100   El índicador de la meta modificada es de 100      Ambos índicadores son de 100, ya que el Ppto (para la actividad) asignado contra el modificado no sufrió cambios significativos, que afectaran el índicador. Efecto:  Otros Motivos:</t>
    </r>
  </si>
  <si>
    <r>
      <t xml:space="preserve">Proyecto Gestión
</t>
    </r>
    <r>
      <rPr>
        <sz val="10"/>
        <rFont val="Soberana Sans"/>
        <family val="2"/>
      </rPr>
      <t xml:space="preserve"> Causa : El Indicador de la meta aprobada es de 90, los resultados alcanzados fueron superiores a los esperados porque en relación a la gestión de proyectos se realizó en tiempo y forma, mejor de lo que se tenia programado. Efecto:  Otros Motivos:</t>
    </r>
  </si>
  <si>
    <r>
      <t xml:space="preserve">Cumplimiento de Proyectos  
</t>
    </r>
    <r>
      <rPr>
        <sz val="10"/>
        <rFont val="Soberana Sans"/>
        <family val="2"/>
      </rPr>
      <t xml:space="preserve"> Causa : Indicador de meta aprobada 90      Indicador de meta modificada 80      Esto se debe a que los contratos sufren una variedad de modificaciones y cancelaciones, en el transcurso del año. Efecto:  Otros Motivos:</t>
    </r>
  </si>
  <si>
    <r>
      <t xml:space="preserve">Incremento  
</t>
    </r>
    <r>
      <rPr>
        <sz val="10"/>
        <rFont val="Soberana Sans"/>
        <family val="2"/>
      </rPr>
      <t xml:space="preserve"> Causa : Este indicador no puede ser preciso, proque tiene 2 años reportandose y es sexenal, para efectos de este reporte se saco un promedio en base a los dos años reportados.      El Indficador de la meta aprobada es de 95      El Indicador de la meta modificada es de 95 Efecto:  Otros Motivos:</t>
    </r>
  </si>
  <si>
    <t>Ejercicio entre presupuesto por cien</t>
  </si>
  <si>
    <r>
      <t>Desarrollo-Contratación-Supervisión</t>
    </r>
    <r>
      <rPr>
        <i/>
        <sz val="10"/>
        <color indexed="30"/>
        <rFont val="Soberana Sans"/>
      </rPr>
      <t xml:space="preserve">
</t>
    </r>
  </si>
  <si>
    <t xml:space="preserve">A 1 Desarrollo, Contratación, Supervisión de la construcción, mediante el  Seguimiento y Control de la Gestión de los Proyectos de infraestructura eléctrica  </t>
  </si>
  <si>
    <t>Estratégico-Eficiencia-Semestral</t>
  </si>
  <si>
    <t>Proyectos gestionados entre proyectos programados por cien</t>
  </si>
  <si>
    <r>
      <t>Proyecto Gestión</t>
    </r>
    <r>
      <rPr>
        <i/>
        <sz val="10"/>
        <color indexed="30"/>
        <rFont val="Soberana Sans"/>
      </rPr>
      <t xml:space="preserve">
</t>
    </r>
  </si>
  <si>
    <t xml:space="preserve">A Proyectos de infraestructura eléctrica Gestionados  </t>
  </si>
  <si>
    <t>porcentaje de proyectos gestionados en el presente ejercicio con respecto a los programados por cien</t>
  </si>
  <si>
    <r>
      <t xml:space="preserve">Cumplimiento de Proyectos  </t>
    </r>
    <r>
      <rPr>
        <i/>
        <sz val="10"/>
        <color indexed="30"/>
        <rFont val="Soberana Sans"/>
      </rPr>
      <t xml:space="preserve">
</t>
    </r>
  </si>
  <si>
    <t>Los usuraios del sisitema electrico nacional cuentan con el servicio publico de energia electrica</t>
  </si>
  <si>
    <t>numero de proyectos entregados entre proyectos programados por cien</t>
  </si>
  <si>
    <r>
      <t xml:space="preserve">Incremento  </t>
    </r>
    <r>
      <rPr>
        <i/>
        <sz val="10"/>
        <color indexed="30"/>
        <rFont val="Soberana Sans"/>
      </rPr>
      <t xml:space="preserve">
</t>
    </r>
  </si>
  <si>
    <t>Contribuir con el incremento de la infraestructura eléctrica necesaria, atraves de la gestión de la realización de los proyectos.</t>
  </si>
  <si>
    <t>Planeación, dirección, coordinación, supervisión y seguimiento a las funciones y recursos asignados para cumplir con la construcción de la infraestructura eléctrica</t>
  </si>
  <si>
    <t>P552</t>
  </si>
  <si>
    <r>
      <t xml:space="preserve">Oportunidad en la entrega de los pronósticos.
</t>
    </r>
    <r>
      <rPr>
        <sz val="10"/>
        <rFont val="Soberana Sans"/>
        <family val="2"/>
      </rPr>
      <t xml:space="preserve"> Causa : ¿ Los fundamentos para dimensionar las estimaciones de consumo y de demanda máxima, son hipótesis para diseñar la optima expansión de los sistemas de generación y transmisión a fin dar una certeza del suministro de energía y satisfacer todas las necesidades  de la población.   ¿ Estos criterios provienen de ordenamientos de estrategias y programas de para  la planificación de la expansión del servicio público de electricidad.   ¿ Su cumplimiento oportuno permitió la formalización en tiempo y forma del Programa de Obras e Inversiones del Sector Eléctrico.    Efecto: ¿ Los beneficios económicos y sociales alcanzados con este indicador de fin, son contar con la oferta del servicio de Energía Eléctrica que permita el desarrollo social y productivo del país. Otros Motivos:</t>
    </r>
  </si>
  <si>
    <r>
      <t xml:space="preserve">Oportunidad en la entrega del Programa de Obras e Inversiones del Sector Eléctrico.
</t>
    </r>
    <r>
      <rPr>
        <sz val="10"/>
        <rFont val="Soberana Sans"/>
        <family val="2"/>
      </rPr>
      <t xml:space="preserve"> Causa : ¿ Comisión Federal de Electricidad atendió en tiempo y forma las actividades comprometidas para la formalización del Programa de Obras e Inversiones del Sector Eléctrico. Efecto: ¿ Los beneficios económicos y sociales alcanzados con este indicador de fin, son contar con la oferta del servicio de Energía Eléctrica que permita el desarrollo social y productivo del país. Otros Motivos:</t>
    </r>
  </si>
  <si>
    <r>
      <t xml:space="preserve">Margen de reserva operativo.
</t>
    </r>
    <r>
      <rPr>
        <sz val="10"/>
        <rFont val="Soberana Sans"/>
        <family val="2"/>
      </rPr>
      <t xml:space="preserve"> Causa : Despacho de centrales más eficientes derivado de las condiciones climáticas más favorables.   Mayor incremento en la capacidad instalada respecto a la meta aprobada.       Efecto: Los beneficios económicos y sociales alcanzados con este indicador de fin, son contar con la oferta del servicio de Energía Eléctrica que permita el desarrollo social y productivo del país. Otros Motivos:</t>
    </r>
  </si>
  <si>
    <r>
      <t xml:space="preserve">Tasa de crecimiento de la oferta del Sector Eléctrico respecto a la programada.
</t>
    </r>
    <r>
      <rPr>
        <sz val="10"/>
        <rFont val="Soberana Sans"/>
        <family val="2"/>
      </rPr>
      <t xml:space="preserve"> Causa :  La planificación del Sector Eléctrico se determina considerando los parámetros macroeconómicos que minimizan el valor presente de los costos de inversión, operación y energía no suministrada (Evolución de la demanda y precios de los combustibles). La variabilidad en los parámetros macroeconómicos permitieron que para el 2013 el cumplimiento del incremento esperado en la capacidad bruta del Sector Eléctrico se superará en 2.8 % ; así mismo la meta alcanzada superará  las expectativas presentadas en las modificaciones realizadas al plan de expansión. Efecto: Los beneficios económicos y sociales alcanzados con este indicador de fin, son contar con la oferta del servicio de Energía Eléctrica que permita el desarrollo social y productivo del país. Otros Motivos:</t>
    </r>
  </si>
  <si>
    <t>100 x Avance acumulado al periodo / compromiso acumulado del pronóstico.</t>
  </si>
  <si>
    <r>
      <t>Oportunidad en la entrega de los pronósticos.</t>
    </r>
    <r>
      <rPr>
        <i/>
        <sz val="10"/>
        <color indexed="30"/>
        <rFont val="Soberana Sans"/>
      </rPr>
      <t xml:space="preserve">
</t>
    </r>
  </si>
  <si>
    <t>A 1 Pronóstico de la demanda de energía eléctrica.</t>
  </si>
  <si>
    <t xml:space="preserve"> Avance acumulado al periodo / compromiso acumulado del programa X 100 </t>
  </si>
  <si>
    <r>
      <t>Oportunidad en la entrega del Programa de Obras e Inversiones del Sector Eléctrico.</t>
    </r>
    <r>
      <rPr>
        <i/>
        <sz val="10"/>
        <color indexed="30"/>
        <rFont val="Soberana Sans"/>
      </rPr>
      <t xml:space="preserve">
</t>
    </r>
  </si>
  <si>
    <t>A Programa de Obras e Inversiones del Sector Eléctrico ejecutado.</t>
  </si>
  <si>
    <t>100 X Capacidad disponible menos demanda máxima bruta coincidente / demanda máxima bruta coincidente.</t>
  </si>
  <si>
    <r>
      <t>Margen de reserva operativo.</t>
    </r>
    <r>
      <rPr>
        <i/>
        <sz val="10"/>
        <color indexed="30"/>
        <rFont val="Soberana Sans"/>
      </rPr>
      <t xml:space="preserve">
</t>
    </r>
  </si>
  <si>
    <t>Los usuarios de la Comisión Federal de Electricidad tienen asegurado el abasto de energía eléctrica para los próximos quince años.</t>
  </si>
  <si>
    <t xml:space="preserve"> (Tasa de crecimiento de la oferta del Sector Eléctrico / Tasa programada) x100.</t>
  </si>
  <si>
    <r>
      <t>Tasa de crecimiento de la oferta del Sector Eléctrico respecto a la programada.</t>
    </r>
    <r>
      <rPr>
        <i/>
        <sz val="10"/>
        <color indexed="30"/>
        <rFont val="Soberana Sans"/>
      </rPr>
      <t xml:space="preserve">
</t>
    </r>
  </si>
  <si>
    <t>Contribuir a la competitividad del país desarrollando el Sector Eléctrico de acuerdo con los lineamientos de las políticas sectoriales de desarrollo social y productivo del país.</t>
  </si>
  <si>
    <t>Planeación del Sistema Eléctrico Nacional</t>
  </si>
  <si>
    <t>P553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</si>
</sst>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b/>
      <sz val="11"/>
      <color indexed="8"/>
      <name val="Soberana Sans"/>
      <family val="2"/>
    </font>
    <font>
      <sz val="12"/>
      <name val="Soberana Sans"/>
      <family val="2"/>
    </font>
    <font>
      <b/>
      <sz val="28"/>
      <color indexed="8"/>
      <name val="Soberana Sans"/>
      <family val="3"/>
    </font>
    <font>
      <i/>
      <sz val="10"/>
      <color indexed="30"/>
      <name val="Soberana Sans"/>
      <family val="3"/>
    </font>
    <font>
      <i/>
      <sz val="10"/>
      <color indexed="30"/>
      <name val="Soberana Sans"/>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style="medium">
        <color auto="1"/>
      </left>
      <right/>
      <top style="thin">
        <color rgb="FFD8D8D8"/>
      </top>
      <bottom style="medium">
        <color auto="1"/>
      </bottom>
      <diagonal/>
    </border>
    <border>
      <left/>
      <right style="medium">
        <color auto="1"/>
      </right>
      <top style="thin">
        <color rgb="FFD8D8D8"/>
      </top>
      <bottom style="thin">
        <color rgb="FFD8D8D8"/>
      </bottom>
      <diagonal/>
    </border>
    <border>
      <left style="medium">
        <color auto="1"/>
      </left>
      <right/>
      <top style="thin">
        <color rgb="FFD8D8D8"/>
      </top>
      <bottom style="thin">
        <color rgb="FFD8D8D8"/>
      </bottom>
      <diagonal/>
    </border>
    <border>
      <left/>
      <right style="medium">
        <color auto="1"/>
      </right>
      <top style="thin">
        <color rgb="FFD8D8D8"/>
      </top>
      <bottom style="medium">
        <color rgb="FFD8D8D8"/>
      </bottom>
      <diagonal/>
    </border>
    <border>
      <left/>
      <right style="medium">
        <color auto="1"/>
      </right>
      <top style="thick">
        <color rgb="FF969696"/>
      </top>
      <bottom style="thin">
        <color rgb="FFD8D8D8"/>
      </bottom>
      <diagonal/>
    </border>
    <border>
      <left style="medium">
        <color auto="1"/>
      </left>
      <right/>
      <top style="thick">
        <color rgb="FF969696"/>
      </top>
      <bottom style="thin">
        <color rgb="FFD8D8D8"/>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5" borderId="10" xfId="0" applyFont="1" applyFill="1" applyBorder="1" applyAlignment="1">
      <alignment horizontal="centerContinuous" vertical="center"/>
    </xf>
    <xf numFmtId="0" fontId="23" fillId="35" borderId="11" xfId="0" applyFont="1" applyFill="1" applyBorder="1" applyAlignment="1">
      <alignment horizontal="centerContinuous" vertical="center"/>
    </xf>
    <xf numFmtId="0" fontId="23" fillId="35" borderId="11" xfId="0" applyFont="1" applyFill="1" applyBorder="1" applyAlignment="1">
      <alignment horizontal="centerContinuous" vertical="center" wrapText="1"/>
    </xf>
    <xf numFmtId="0" fontId="23"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4"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5" fillId="36" borderId="45" xfId="0" applyFont="1" applyFill="1" applyBorder="1" applyAlignment="1">
      <alignment horizontal="centerContinuous" vertical="center"/>
    </xf>
    <xf numFmtId="0" fontId="26" fillId="36" borderId="14" xfId="0" applyFont="1" applyFill="1" applyBorder="1" applyAlignment="1">
      <alignment horizontal="centerContinuous" vertical="center"/>
    </xf>
    <xf numFmtId="0" fontId="26" fillId="36" borderId="14" xfId="0" applyFont="1" applyFill="1" applyBorder="1" applyAlignment="1">
      <alignment horizontal="centerContinuous"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5" fillId="36" borderId="47" xfId="0" applyFont="1" applyFill="1" applyBorder="1" applyAlignment="1">
      <alignment horizontal="centerContinuous" vertical="center"/>
    </xf>
    <xf numFmtId="0" fontId="26" fillId="36" borderId="48" xfId="0" applyFont="1" applyFill="1" applyBorder="1" applyAlignment="1">
      <alignment horizontal="centerContinuous" vertical="center"/>
    </xf>
    <xf numFmtId="0" fontId="26" fillId="36" borderId="48" xfId="0" applyFont="1" applyFill="1" applyBorder="1" applyAlignment="1">
      <alignment horizontal="centerContinuous"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4" fontId="0" fillId="0" borderId="41" xfId="0" applyNumberFormat="1" applyBorder="1" applyAlignment="1">
      <alignment horizontal="right" vertical="top" wrapText="1"/>
    </xf>
    <xf numFmtId="4" fontId="0" fillId="0" borderId="52" xfId="0" applyNumberFormat="1" applyFill="1" applyBorder="1" applyAlignment="1">
      <alignment horizontal="right" vertical="top" wrapText="1"/>
    </xf>
    <xf numFmtId="4" fontId="19" fillId="0" borderId="53" xfId="0" applyNumberFormat="1" applyFont="1" applyFill="1" applyBorder="1" applyAlignment="1">
      <alignment horizontal="right" vertical="top" wrapText="1"/>
    </xf>
    <xf numFmtId="0" fontId="18" fillId="0" borderId="52" xfId="0" applyFont="1" applyBorder="1" applyAlignment="1">
      <alignment horizontal="justify" vertical="top" wrapText="1"/>
    </xf>
    <xf numFmtId="0" fontId="18" fillId="0" borderId="55" xfId="0" applyFont="1" applyBorder="1" applyAlignment="1">
      <alignment horizontal="justify" vertical="top" wrapText="1"/>
    </xf>
    <xf numFmtId="0" fontId="18" fillId="36" borderId="28"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27" fillId="33" borderId="0" xfId="0" applyFont="1" applyFill="1" applyAlignment="1">
      <alignment horizontal="center" vertical="center" wrapText="1"/>
    </xf>
    <xf numFmtId="0" fontId="30" fillId="34" borderId="0" xfId="0" applyFont="1" applyFill="1" applyAlignment="1">
      <alignment horizontal="center" vertical="center" wrapText="1"/>
    </xf>
    <xf numFmtId="0" fontId="20" fillId="0" borderId="0" xfId="0" applyFont="1" applyAlignment="1">
      <alignment horizontal="center" vertical="center" wrapText="1"/>
    </xf>
    <xf numFmtId="0" fontId="29" fillId="0" borderId="0" xfId="0" applyFont="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28"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center" vertical="center" wrapText="1"/>
    </xf>
    <xf numFmtId="0" fontId="18" fillId="36" borderId="21" xfId="0" applyFont="1" applyFill="1" applyBorder="1" applyAlignment="1">
      <alignment horizontal="center" vertical="center" wrapText="1"/>
    </xf>
    <xf numFmtId="0" fontId="18" fillId="36" borderId="20"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23" xfId="0" applyFont="1" applyFill="1" applyBorder="1" applyAlignment="1">
      <alignment horizontal="center"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36" borderId="24" xfId="0" applyFont="1" applyFill="1" applyBorder="1" applyAlignment="1">
      <alignment horizontal="center" vertical="center" wrapText="1"/>
    </xf>
    <xf numFmtId="0" fontId="18" fillId="36" borderId="2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0" fillId="0" borderId="40" xfId="0" applyFill="1" applyBorder="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3" xfId="0" applyFill="1" applyBorder="1" applyAlignment="1">
      <alignment horizontal="justify" vertical="top" wrapText="1"/>
    </xf>
    <xf numFmtId="0" fontId="18" fillId="0" borderId="61" xfId="0" applyFont="1" applyFill="1" applyBorder="1" applyAlignment="1">
      <alignment horizontal="justify" vertical="top" wrapText="1"/>
    </xf>
    <xf numFmtId="0" fontId="18" fillId="0" borderId="62" xfId="0" applyFont="1" applyFill="1" applyBorder="1" applyAlignment="1">
      <alignment horizontal="justify" vertical="top" wrapText="1"/>
    </xf>
    <xf numFmtId="0" fontId="18" fillId="0" borderId="63" xfId="0" applyFont="1" applyFill="1" applyBorder="1" applyAlignment="1">
      <alignment horizontal="justify" vertical="top" wrapText="1"/>
    </xf>
    <xf numFmtId="0" fontId="18" fillId="0" borderId="64" xfId="0" applyFont="1" applyFill="1" applyBorder="1" applyAlignment="1">
      <alignment horizontal="justify" vertical="top" wrapText="1"/>
    </xf>
    <xf numFmtId="0" fontId="18" fillId="0" borderId="65" xfId="0" applyFont="1" applyFill="1" applyBorder="1" applyAlignment="1">
      <alignment horizontal="justify" vertical="top" wrapText="1"/>
    </xf>
    <xf numFmtId="164" fontId="19" fillId="0" borderId="66" xfId="0" applyNumberFormat="1" applyFont="1" applyFill="1" applyBorder="1" applyAlignment="1">
      <alignment horizontal="right" vertical="top" wrapText="1"/>
    </xf>
    <xf numFmtId="164" fontId="0" fillId="0" borderId="52" xfId="0" applyNumberFormat="1" applyFill="1" applyBorder="1" applyAlignment="1">
      <alignment horizontal="right" vertical="top" wrapText="1"/>
    </xf>
    <xf numFmtId="4" fontId="0" fillId="0" borderId="64" xfId="0" applyNumberFormat="1" applyBorder="1" applyAlignment="1">
      <alignment horizontal="right" vertical="top" wrapText="1"/>
    </xf>
    <xf numFmtId="3" fontId="19" fillId="0" borderId="43" xfId="0" applyNumberFormat="1" applyFont="1" applyBorder="1" applyAlignment="1">
      <alignment horizontal="right" vertical="top" wrapText="1"/>
    </xf>
    <xf numFmtId="0" fontId="18" fillId="0" borderId="65" xfId="0" applyFont="1" applyFill="1" applyBorder="1" applyAlignment="1">
      <alignment vertical="top" wrapText="1"/>
    </xf>
    <xf numFmtId="164" fontId="0" fillId="0" borderId="67" xfId="0" applyNumberFormat="1" applyBorder="1" applyAlignment="1">
      <alignment horizontal="right" vertical="top" wrapText="1"/>
    </xf>
    <xf numFmtId="0" fontId="18" fillId="0" borderId="68" xfId="0" applyFont="1" applyFill="1" applyBorder="1" applyAlignment="1">
      <alignment vertical="top" wrapText="1"/>
    </xf>
    <xf numFmtId="3" fontId="19" fillId="0" borderId="40" xfId="0" applyNumberFormat="1" applyFont="1" applyBorder="1" applyAlignment="1">
      <alignment horizontal="right" vertical="top" wrapText="1"/>
    </xf>
    <xf numFmtId="0" fontId="18" fillId="36" borderId="25" xfId="0" applyFont="1" applyFill="1" applyBorder="1" applyAlignment="1">
      <alignment horizontal="justify" vertical="center" wrapText="1"/>
    </xf>
    <xf numFmtId="0" fontId="18" fillId="36" borderId="24"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26" xfId="0" applyFont="1" applyFill="1" applyBorder="1" applyAlignment="1">
      <alignment horizontal="justify" vertical="center" wrapText="1"/>
    </xf>
    <xf numFmtId="0" fontId="18" fillId="36" borderId="0"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3" xfId="0" applyFont="1" applyFill="1" applyBorder="1" applyAlignment="1">
      <alignment horizontal="justify" vertical="center" wrapText="1"/>
    </xf>
    <xf numFmtId="0" fontId="18" fillId="36" borderId="22" xfId="0" applyFont="1" applyFill="1" applyBorder="1" applyAlignment="1">
      <alignment horizontal="justify" vertical="center" wrapText="1"/>
    </xf>
    <xf numFmtId="0" fontId="18" fillId="36" borderId="19" xfId="0" applyFont="1" applyFill="1" applyBorder="1" applyAlignment="1">
      <alignment horizontal="justify"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AH33" sqref="AH33"/>
    </sheetView>
  </sheetViews>
  <sheetFormatPr baseColWidth="10" defaultColWidth="5" defaultRowHeight="12.75" x14ac:dyDescent="0.2"/>
  <cols>
    <col min="1" max="1" width="3.5" style="1" customWidth="1"/>
    <col min="2" max="16384" width="5" style="1"/>
  </cols>
  <sheetData>
    <row r="1" spans="2:30" s="2" customFormat="1" ht="48" customHeight="1" x14ac:dyDescent="0.2">
      <c r="B1" s="51" t="s">
        <v>0</v>
      </c>
      <c r="C1" s="51"/>
      <c r="D1" s="51"/>
      <c r="E1" s="51"/>
      <c r="F1" s="51"/>
      <c r="G1" s="51"/>
      <c r="H1" s="51"/>
      <c r="I1" s="51"/>
      <c r="J1" s="51"/>
      <c r="K1" s="51"/>
      <c r="L1" s="51"/>
      <c r="M1" s="51"/>
      <c r="N1" s="51"/>
      <c r="O1" s="51"/>
      <c r="P1" s="51"/>
      <c r="Q1" s="3" t="s">
        <v>1</v>
      </c>
    </row>
    <row r="2" spans="2:30" ht="13.5" customHeight="1" x14ac:dyDescent="0.2"/>
    <row r="3" spans="2:30" ht="13.5" customHeight="1" x14ac:dyDescent="0.2"/>
    <row r="4" spans="2:30" ht="13.5" customHeight="1" x14ac:dyDescent="0.2"/>
    <row r="5" spans="2:30" ht="13.5" customHeight="1" x14ac:dyDescent="0.2"/>
    <row r="6" spans="2:30" ht="13.5" customHeight="1" x14ac:dyDescent="0.2"/>
    <row r="7" spans="2:30" ht="13.5" customHeight="1" x14ac:dyDescent="0.2"/>
    <row r="8" spans="2:30" ht="13.5" customHeight="1" x14ac:dyDescent="0.2"/>
    <row r="9" spans="2:30" ht="13.5" customHeight="1" x14ac:dyDescent="0.2"/>
    <row r="10" spans="2:30" ht="13.5" customHeight="1" x14ac:dyDescent="0.2"/>
    <row r="11" spans="2:30" ht="13.5" customHeight="1" x14ac:dyDescent="0.2">
      <c r="B11" s="52" t="s">
        <v>50</v>
      </c>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row>
    <row r="12" spans="2:30" ht="13.5" customHeight="1" x14ac:dyDescent="0.2">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row>
    <row r="13" spans="2:30" ht="13.5" customHeight="1" x14ac:dyDescent="0.2">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row>
    <row r="14" spans="2:30" ht="13.5" customHeight="1" x14ac:dyDescent="0.2">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row>
    <row r="15" spans="2:30" ht="13.5" customHeight="1" x14ac:dyDescent="0.2">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row>
    <row r="16" spans="2:30" ht="13.5" customHeight="1" x14ac:dyDescent="0.2">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row>
    <row r="17" spans="2:30" ht="13.5" customHeight="1" x14ac:dyDescent="0.2">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row>
    <row r="18" spans="2:30" ht="13.5" customHeight="1" x14ac:dyDescent="0.2">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row>
    <row r="19" spans="2:30" ht="13.5" customHeight="1" x14ac:dyDescent="0.2">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row>
    <row r="20" spans="2:30" ht="13.5" customHeight="1" x14ac:dyDescent="0.2">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row>
    <row r="21" spans="2:30" ht="13.5" customHeight="1" x14ac:dyDescent="0.2">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row>
    <row r="22" spans="2:30" ht="13.5" customHeight="1" x14ac:dyDescent="0.2">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row>
    <row r="23" spans="2:30" ht="13.5" customHeight="1" x14ac:dyDescent="0.2">
      <c r="B23" s="52"/>
      <c r="C23" s="52"/>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row>
    <row r="24" spans="2:30" ht="13.5" customHeight="1" x14ac:dyDescent="0.2">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row>
    <row r="25" spans="2:30" ht="13.5" customHeight="1" x14ac:dyDescent="0.2">
      <c r="B25" s="52"/>
      <c r="C25" s="52"/>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row>
    <row r="26" spans="2:30" ht="13.5" customHeight="1" x14ac:dyDescent="0.2">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row>
    <row r="27" spans="2:30" ht="13.5" customHeight="1" x14ac:dyDescent="0.2">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row>
    <row r="28" spans="2:30" ht="13.5" customHeight="1" x14ac:dyDescent="0.2">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row>
    <row r="29" spans="2:30" ht="13.5" customHeight="1" x14ac:dyDescent="0.2">
      <c r="B29" s="52"/>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row>
    <row r="30" spans="2:30" ht="13.5" customHeight="1" x14ac:dyDescent="0.2">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row>
    <row r="31" spans="2:30" ht="13.5" customHeight="1" x14ac:dyDescent="0.2">
      <c r="B31" s="52"/>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row>
    <row r="32" spans="2:30" ht="13.5" customHeight="1" x14ac:dyDescent="0.2">
      <c r="B32" s="52"/>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row>
    <row r="33" spans="2:30" ht="13.5" customHeight="1" x14ac:dyDescent="0.2">
      <c r="B33" s="52"/>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row>
    <row r="34" spans="2:30" ht="13.5" customHeight="1" x14ac:dyDescent="0.2">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row>
    <row r="35" spans="2:30" ht="13.5" customHeight="1" x14ac:dyDescent="0.2"/>
    <row r="36" spans="2:30" ht="13.5" customHeight="1" x14ac:dyDescent="0.2"/>
    <row r="37" spans="2:30" ht="13.5" customHeight="1" x14ac:dyDescent="0.2"/>
    <row r="38" spans="2:30" ht="13.5" customHeight="1" x14ac:dyDescent="0.2"/>
    <row r="39" spans="2:30" ht="13.5" customHeight="1" x14ac:dyDescent="0.2"/>
    <row r="40" spans="2:30" ht="13.5" customHeight="1" x14ac:dyDescent="0.2"/>
    <row r="41" spans="2:30" ht="13.5" customHeight="1" x14ac:dyDescent="0.2"/>
    <row r="42" spans="2:30" ht="13.5" customHeight="1" x14ac:dyDescent="0.2"/>
    <row r="43" spans="2:30" ht="13.5" customHeight="1" x14ac:dyDescent="0.2"/>
    <row r="44" spans="2:30" ht="13.5" customHeight="1" x14ac:dyDescent="0.2"/>
    <row r="45" spans="2:30" ht="13.5" customHeight="1" x14ac:dyDescent="0.2"/>
    <row r="46" spans="2:30" ht="13.5" customHeight="1" x14ac:dyDescent="0.2"/>
    <row r="47" spans="2:30" ht="13.5" customHeight="1" x14ac:dyDescent="0.2"/>
    <row r="48" spans="2:30" ht="13.5" customHeight="1" x14ac:dyDescent="0.2"/>
    <row r="49" spans="4:28" ht="20.25" customHeight="1" x14ac:dyDescent="0.2">
      <c r="D49" s="53" t="s">
        <v>3</v>
      </c>
      <c r="E49" s="53"/>
      <c r="F49" s="53"/>
      <c r="G49" s="53"/>
      <c r="H49" s="53"/>
      <c r="I49" s="53"/>
      <c r="J49" s="53"/>
      <c r="K49" s="53"/>
      <c r="L49" s="53"/>
      <c r="M49" s="53"/>
      <c r="N49" s="53"/>
      <c r="O49" s="53"/>
      <c r="P49" s="53"/>
      <c r="Q49" s="53"/>
      <c r="R49" s="53"/>
      <c r="S49" s="53"/>
      <c r="T49" s="53"/>
      <c r="U49" s="53"/>
      <c r="V49" s="53"/>
      <c r="W49" s="53"/>
      <c r="X49" s="53"/>
      <c r="Y49" s="53"/>
      <c r="Z49" s="53"/>
      <c r="AA49" s="53"/>
      <c r="AB49" s="53"/>
    </row>
    <row r="50" spans="4:28" ht="13.5" customHeight="1" x14ac:dyDescent="0.2">
      <c r="D50" s="54" t="s">
        <v>151</v>
      </c>
      <c r="E50" s="54"/>
      <c r="F50" s="54"/>
      <c r="G50" s="54"/>
      <c r="H50" s="54"/>
      <c r="I50" s="54"/>
      <c r="J50" s="54"/>
      <c r="K50" s="54"/>
      <c r="L50" s="54"/>
      <c r="M50" s="54"/>
      <c r="N50" s="54"/>
      <c r="O50" s="54"/>
      <c r="P50" s="54"/>
      <c r="Q50" s="54"/>
      <c r="R50" s="54"/>
      <c r="S50" s="54"/>
      <c r="T50" s="54"/>
      <c r="U50" s="54"/>
      <c r="V50" s="54"/>
      <c r="W50" s="54"/>
      <c r="X50" s="54"/>
      <c r="Y50" s="54"/>
      <c r="Z50" s="54"/>
      <c r="AA50" s="54"/>
      <c r="AB50" s="54"/>
    </row>
    <row r="51" spans="4:28" ht="13.5" customHeight="1" x14ac:dyDescent="0.2">
      <c r="D51" s="54"/>
      <c r="E51" s="54"/>
      <c r="F51" s="54"/>
      <c r="G51" s="54"/>
      <c r="H51" s="54"/>
      <c r="I51" s="54"/>
      <c r="J51" s="54"/>
      <c r="K51" s="54"/>
      <c r="L51" s="54"/>
      <c r="M51" s="54"/>
      <c r="N51" s="54"/>
      <c r="O51" s="54"/>
      <c r="P51" s="54"/>
      <c r="Q51" s="54"/>
      <c r="R51" s="54"/>
      <c r="S51" s="54"/>
      <c r="T51" s="54"/>
      <c r="U51" s="54"/>
      <c r="V51" s="54"/>
      <c r="W51" s="54"/>
      <c r="X51" s="54"/>
      <c r="Y51" s="54"/>
      <c r="Z51" s="54"/>
      <c r="AA51" s="54"/>
      <c r="AB51" s="54"/>
    </row>
    <row r="52" spans="4:28" ht="13.5" customHeight="1" x14ac:dyDescent="0.2">
      <c r="D52" s="54"/>
      <c r="E52" s="54"/>
      <c r="F52" s="54"/>
      <c r="G52" s="54"/>
      <c r="H52" s="54"/>
      <c r="I52" s="54"/>
      <c r="J52" s="54"/>
      <c r="K52" s="54"/>
      <c r="L52" s="54"/>
      <c r="M52" s="54"/>
      <c r="N52" s="54"/>
      <c r="O52" s="54"/>
      <c r="P52" s="54"/>
      <c r="Q52" s="54"/>
      <c r="R52" s="54"/>
      <c r="S52" s="54"/>
      <c r="T52" s="54"/>
      <c r="U52" s="54"/>
      <c r="V52" s="54"/>
      <c r="W52" s="54"/>
      <c r="X52" s="54"/>
      <c r="Y52" s="54"/>
      <c r="Z52" s="54"/>
      <c r="AA52" s="54"/>
      <c r="AB52" s="54"/>
    </row>
    <row r="53" spans="4:28" ht="13.5" customHeight="1" x14ac:dyDescent="0.2">
      <c r="D53" s="54"/>
      <c r="E53" s="54"/>
      <c r="F53" s="54"/>
      <c r="G53" s="54"/>
      <c r="H53" s="54"/>
      <c r="I53" s="54"/>
      <c r="J53" s="54"/>
      <c r="K53" s="54"/>
      <c r="L53" s="54"/>
      <c r="M53" s="54"/>
      <c r="N53" s="54"/>
      <c r="O53" s="54"/>
      <c r="P53" s="54"/>
      <c r="Q53" s="54"/>
      <c r="R53" s="54"/>
      <c r="S53" s="54"/>
      <c r="T53" s="54"/>
      <c r="U53" s="54"/>
      <c r="V53" s="54"/>
      <c r="W53" s="54"/>
      <c r="X53" s="54"/>
      <c r="Y53" s="54"/>
      <c r="Z53" s="54"/>
      <c r="AA53" s="54"/>
      <c r="AB53" s="54"/>
    </row>
    <row r="54" spans="4:28" ht="13.5" customHeight="1" x14ac:dyDescent="0.2">
      <c r="D54" s="54"/>
      <c r="E54" s="54"/>
      <c r="F54" s="54"/>
      <c r="G54" s="54"/>
      <c r="H54" s="54"/>
      <c r="I54" s="54"/>
      <c r="J54" s="54"/>
      <c r="K54" s="54"/>
      <c r="L54" s="54"/>
      <c r="M54" s="54"/>
      <c r="N54" s="54"/>
      <c r="O54" s="54"/>
      <c r="P54" s="54"/>
      <c r="Q54" s="54"/>
      <c r="R54" s="54"/>
      <c r="S54" s="54"/>
      <c r="T54" s="54"/>
      <c r="U54" s="54"/>
      <c r="V54" s="54"/>
      <c r="W54" s="54"/>
      <c r="X54" s="54"/>
      <c r="Y54" s="54"/>
      <c r="Z54" s="54"/>
      <c r="AA54" s="54"/>
      <c r="AB54" s="54"/>
    </row>
    <row r="55" spans="4:28" ht="13.5" customHeight="1" x14ac:dyDescent="0.2">
      <c r="D55" s="54"/>
      <c r="E55" s="54"/>
      <c r="F55" s="54"/>
      <c r="G55" s="54"/>
      <c r="H55" s="54"/>
      <c r="I55" s="54"/>
      <c r="J55" s="54"/>
      <c r="K55" s="54"/>
      <c r="L55" s="54"/>
      <c r="M55" s="54"/>
      <c r="N55" s="54"/>
      <c r="O55" s="54"/>
      <c r="P55" s="54"/>
      <c r="Q55" s="54"/>
      <c r="R55" s="54"/>
      <c r="S55" s="54"/>
      <c r="T55" s="54"/>
      <c r="U55" s="54"/>
      <c r="V55" s="54"/>
      <c r="W55" s="54"/>
      <c r="X55" s="54"/>
      <c r="Y55" s="54"/>
      <c r="Z55" s="54"/>
      <c r="AA55" s="54"/>
      <c r="AB55" s="54"/>
    </row>
    <row r="56" spans="4:28" ht="13.5" customHeight="1" x14ac:dyDescent="0.2">
      <c r="D56" s="54"/>
      <c r="E56" s="54"/>
      <c r="F56" s="54"/>
      <c r="G56" s="54"/>
      <c r="H56" s="54"/>
      <c r="I56" s="54"/>
      <c r="J56" s="54"/>
      <c r="K56" s="54"/>
      <c r="L56" s="54"/>
      <c r="M56" s="54"/>
      <c r="N56" s="54"/>
      <c r="O56" s="54"/>
      <c r="P56" s="54"/>
      <c r="Q56" s="54"/>
      <c r="R56" s="54"/>
      <c r="S56" s="54"/>
      <c r="T56" s="54"/>
      <c r="U56" s="54"/>
      <c r="V56" s="54"/>
      <c r="W56" s="54"/>
      <c r="X56" s="54"/>
      <c r="Y56" s="54"/>
      <c r="Z56" s="54"/>
      <c r="AA56" s="54"/>
      <c r="AB56" s="54"/>
    </row>
    <row r="57" spans="4:28" ht="13.5" customHeight="1" x14ac:dyDescent="0.2">
      <c r="D57" s="54"/>
      <c r="E57" s="54"/>
      <c r="F57" s="54"/>
      <c r="G57" s="54"/>
      <c r="H57" s="54"/>
      <c r="I57" s="54"/>
      <c r="J57" s="54"/>
      <c r="K57" s="54"/>
      <c r="L57" s="54"/>
      <c r="M57" s="54"/>
      <c r="N57" s="54"/>
      <c r="O57" s="54"/>
      <c r="P57" s="54"/>
      <c r="Q57" s="54"/>
      <c r="R57" s="54"/>
      <c r="S57" s="54"/>
      <c r="T57" s="54"/>
      <c r="U57" s="54"/>
      <c r="V57" s="54"/>
      <c r="W57" s="54"/>
      <c r="X57" s="54"/>
      <c r="Y57" s="54"/>
      <c r="Z57" s="54"/>
      <c r="AA57" s="54"/>
      <c r="AB57" s="54"/>
    </row>
    <row r="58" spans="4:28" ht="13.5" customHeight="1" x14ac:dyDescent="0.2">
      <c r="D58" s="54"/>
      <c r="E58" s="54"/>
      <c r="F58" s="54"/>
      <c r="G58" s="54"/>
      <c r="H58" s="54"/>
      <c r="I58" s="54"/>
      <c r="J58" s="54"/>
      <c r="K58" s="54"/>
      <c r="L58" s="54"/>
      <c r="M58" s="54"/>
      <c r="N58" s="54"/>
      <c r="O58" s="54"/>
      <c r="P58" s="54"/>
      <c r="Q58" s="54"/>
      <c r="R58" s="54"/>
      <c r="S58" s="54"/>
      <c r="T58" s="54"/>
      <c r="U58" s="54"/>
      <c r="V58" s="54"/>
      <c r="W58" s="54"/>
      <c r="X58" s="54"/>
      <c r="Y58" s="54"/>
      <c r="Z58" s="54"/>
      <c r="AA58" s="54"/>
      <c r="AB58" s="54"/>
    </row>
    <row r="59" spans="4:28" ht="13.5" customHeight="1" x14ac:dyDescent="0.2">
      <c r="D59" s="54"/>
      <c r="E59" s="54"/>
      <c r="F59" s="54"/>
      <c r="G59" s="54"/>
      <c r="H59" s="54"/>
      <c r="I59" s="54"/>
      <c r="J59" s="54"/>
      <c r="K59" s="54"/>
      <c r="L59" s="54"/>
      <c r="M59" s="54"/>
      <c r="N59" s="54"/>
      <c r="O59" s="54"/>
      <c r="P59" s="54"/>
      <c r="Q59" s="54"/>
      <c r="R59" s="54"/>
      <c r="S59" s="54"/>
      <c r="T59" s="54"/>
      <c r="U59" s="54"/>
      <c r="V59" s="54"/>
      <c r="W59" s="54"/>
      <c r="X59" s="54"/>
      <c r="Y59" s="54"/>
      <c r="Z59" s="54"/>
      <c r="AA59" s="54"/>
      <c r="AB59" s="54"/>
    </row>
    <row r="60" spans="4:28" ht="13.5" customHeight="1" x14ac:dyDescent="0.2">
      <c r="D60" s="54"/>
      <c r="E60" s="54"/>
      <c r="F60" s="54"/>
      <c r="G60" s="54"/>
      <c r="H60" s="54"/>
      <c r="I60" s="54"/>
      <c r="J60" s="54"/>
      <c r="K60" s="54"/>
      <c r="L60" s="54"/>
      <c r="M60" s="54"/>
      <c r="N60" s="54"/>
      <c r="O60" s="54"/>
      <c r="P60" s="54"/>
      <c r="Q60" s="54"/>
      <c r="R60" s="54"/>
      <c r="S60" s="54"/>
      <c r="T60" s="54"/>
      <c r="U60" s="54"/>
      <c r="V60" s="54"/>
      <c r="W60" s="54"/>
      <c r="X60" s="54"/>
      <c r="Y60" s="54"/>
      <c r="Z60" s="54"/>
      <c r="AA60" s="54"/>
      <c r="AB60" s="54"/>
    </row>
    <row r="61" spans="4:28" ht="13.5" customHeight="1" x14ac:dyDescent="0.2">
      <c r="D61" s="54"/>
      <c r="E61" s="54"/>
      <c r="F61" s="54"/>
      <c r="G61" s="54"/>
      <c r="H61" s="54"/>
      <c r="I61" s="54"/>
      <c r="J61" s="54"/>
      <c r="K61" s="54"/>
      <c r="L61" s="54"/>
      <c r="M61" s="54"/>
      <c r="N61" s="54"/>
      <c r="O61" s="54"/>
      <c r="P61" s="54"/>
      <c r="Q61" s="54"/>
      <c r="R61" s="54"/>
      <c r="S61" s="54"/>
      <c r="T61" s="54"/>
      <c r="U61" s="54"/>
      <c r="V61" s="54"/>
      <c r="W61" s="54"/>
      <c r="X61" s="54"/>
      <c r="Y61" s="54"/>
      <c r="Z61" s="54"/>
      <c r="AA61" s="54"/>
      <c r="AB61" s="54"/>
    </row>
    <row r="62" spans="4:28" ht="13.5" customHeight="1" x14ac:dyDescent="0.2">
      <c r="D62" s="54"/>
      <c r="E62" s="54"/>
      <c r="F62" s="54"/>
      <c r="G62" s="54"/>
      <c r="H62" s="54"/>
      <c r="I62" s="54"/>
      <c r="J62" s="54"/>
      <c r="K62" s="54"/>
      <c r="L62" s="54"/>
      <c r="M62" s="54"/>
      <c r="N62" s="54"/>
      <c r="O62" s="54"/>
      <c r="P62" s="54"/>
      <c r="Q62" s="54"/>
      <c r="R62" s="54"/>
      <c r="S62" s="54"/>
      <c r="T62" s="54"/>
      <c r="U62" s="54"/>
      <c r="V62" s="54"/>
      <c r="W62" s="54"/>
      <c r="X62" s="54"/>
      <c r="Y62" s="54"/>
      <c r="Z62" s="54"/>
      <c r="AA62" s="54"/>
      <c r="AB62" s="54"/>
    </row>
    <row r="63" spans="4:28" ht="13.5" customHeight="1" x14ac:dyDescent="0.2">
      <c r="D63" s="54"/>
      <c r="E63" s="54"/>
      <c r="F63" s="54"/>
      <c r="G63" s="54"/>
      <c r="H63" s="54"/>
      <c r="I63" s="54"/>
      <c r="J63" s="54"/>
      <c r="K63" s="54"/>
      <c r="L63" s="54"/>
      <c r="M63" s="54"/>
      <c r="N63" s="54"/>
      <c r="O63" s="54"/>
      <c r="P63" s="54"/>
      <c r="Q63" s="54"/>
      <c r="R63" s="54"/>
      <c r="S63" s="54"/>
      <c r="T63" s="54"/>
      <c r="U63" s="54"/>
      <c r="V63" s="54"/>
      <c r="W63" s="54"/>
      <c r="X63" s="54"/>
      <c r="Y63" s="54"/>
      <c r="Z63" s="54"/>
      <c r="AA63" s="54"/>
      <c r="AB63" s="54"/>
    </row>
    <row r="64" spans="4:28" ht="13.5" customHeight="1" x14ac:dyDescent="0.2">
      <c r="D64" s="54"/>
      <c r="E64" s="54"/>
      <c r="F64" s="54"/>
      <c r="G64" s="54"/>
      <c r="H64" s="54"/>
      <c r="I64" s="54"/>
      <c r="J64" s="54"/>
      <c r="K64" s="54"/>
      <c r="L64" s="54"/>
      <c r="M64" s="54"/>
      <c r="N64" s="54"/>
      <c r="O64" s="54"/>
      <c r="P64" s="54"/>
      <c r="Q64" s="54"/>
      <c r="R64" s="54"/>
      <c r="S64" s="54"/>
      <c r="T64" s="54"/>
      <c r="U64" s="54"/>
      <c r="V64" s="54"/>
      <c r="W64" s="54"/>
      <c r="X64" s="54"/>
      <c r="Y64" s="54"/>
      <c r="Z64" s="54"/>
      <c r="AA64" s="54"/>
      <c r="AB64" s="54"/>
    </row>
    <row r="65" spans="4:28" ht="13.5" customHeight="1" x14ac:dyDescent="0.2">
      <c r="D65" s="54"/>
      <c r="E65" s="54"/>
      <c r="F65" s="54"/>
      <c r="G65" s="54"/>
      <c r="H65" s="54"/>
      <c r="I65" s="54"/>
      <c r="J65" s="54"/>
      <c r="K65" s="54"/>
      <c r="L65" s="54"/>
      <c r="M65" s="54"/>
      <c r="N65" s="54"/>
      <c r="O65" s="54"/>
      <c r="P65" s="54"/>
      <c r="Q65" s="54"/>
      <c r="R65" s="54"/>
      <c r="S65" s="54"/>
      <c r="T65" s="54"/>
      <c r="U65" s="54"/>
      <c r="V65" s="54"/>
      <c r="W65" s="54"/>
      <c r="X65" s="54"/>
      <c r="Y65" s="54"/>
      <c r="Z65" s="54"/>
      <c r="AA65" s="54"/>
      <c r="AB65" s="54"/>
    </row>
    <row r="66" spans="4:28" ht="13.5" customHeight="1" x14ac:dyDescent="0.2">
      <c r="D66" s="54"/>
      <c r="E66" s="54"/>
      <c r="F66" s="54"/>
      <c r="G66" s="54"/>
      <c r="H66" s="54"/>
      <c r="I66" s="54"/>
      <c r="J66" s="54"/>
      <c r="K66" s="54"/>
      <c r="L66" s="54"/>
      <c r="M66" s="54"/>
      <c r="N66" s="54"/>
      <c r="O66" s="54"/>
      <c r="P66" s="54"/>
      <c r="Q66" s="54"/>
      <c r="R66" s="54"/>
      <c r="S66" s="54"/>
      <c r="T66" s="54"/>
      <c r="U66" s="54"/>
      <c r="V66" s="54"/>
      <c r="W66" s="54"/>
      <c r="X66" s="54"/>
      <c r="Y66" s="54"/>
      <c r="Z66" s="54"/>
      <c r="AA66" s="54"/>
      <c r="AB66" s="54"/>
    </row>
    <row r="67" spans="4:28" ht="13.5" customHeight="1" x14ac:dyDescent="0.2">
      <c r="D67" s="54"/>
      <c r="E67" s="54"/>
      <c r="F67" s="54"/>
      <c r="G67" s="54"/>
      <c r="H67" s="54"/>
      <c r="I67" s="54"/>
      <c r="J67" s="54"/>
      <c r="K67" s="54"/>
      <c r="L67" s="54"/>
      <c r="M67" s="54"/>
      <c r="N67" s="54"/>
      <c r="O67" s="54"/>
      <c r="P67" s="54"/>
      <c r="Q67" s="54"/>
      <c r="R67" s="54"/>
      <c r="S67" s="54"/>
      <c r="T67" s="54"/>
      <c r="U67" s="54"/>
      <c r="V67" s="54"/>
      <c r="W67" s="54"/>
      <c r="X67" s="54"/>
      <c r="Y67" s="54"/>
      <c r="Z67" s="54"/>
      <c r="AA67" s="54"/>
      <c r="AB67" s="54"/>
    </row>
    <row r="68" spans="4:28" ht="13.5" customHeight="1" x14ac:dyDescent="0.2">
      <c r="D68" s="54"/>
      <c r="E68" s="54"/>
      <c r="F68" s="54"/>
      <c r="G68" s="54"/>
      <c r="H68" s="54"/>
      <c r="I68" s="54"/>
      <c r="J68" s="54"/>
      <c r="K68" s="54"/>
      <c r="L68" s="54"/>
      <c r="M68" s="54"/>
      <c r="N68" s="54"/>
      <c r="O68" s="54"/>
      <c r="P68" s="54"/>
      <c r="Q68" s="54"/>
      <c r="R68" s="54"/>
      <c r="S68" s="54"/>
      <c r="T68" s="54"/>
      <c r="U68" s="54"/>
      <c r="V68" s="54"/>
      <c r="W68" s="54"/>
      <c r="X68" s="54"/>
      <c r="Y68" s="54"/>
      <c r="Z68" s="54"/>
      <c r="AA68" s="54"/>
      <c r="AB68" s="54"/>
    </row>
    <row r="69" spans="4:28" ht="13.5" customHeight="1" x14ac:dyDescent="0.2">
      <c r="D69" s="54"/>
      <c r="E69" s="54"/>
      <c r="F69" s="54"/>
      <c r="G69" s="54"/>
      <c r="H69" s="54"/>
      <c r="I69" s="54"/>
      <c r="J69" s="54"/>
      <c r="K69" s="54"/>
      <c r="L69" s="54"/>
      <c r="M69" s="54"/>
      <c r="N69" s="54"/>
      <c r="O69" s="54"/>
      <c r="P69" s="54"/>
      <c r="Q69" s="54"/>
      <c r="R69" s="54"/>
      <c r="S69" s="54"/>
      <c r="T69" s="54"/>
      <c r="U69" s="54"/>
      <c r="V69" s="54"/>
      <c r="W69" s="54"/>
      <c r="X69" s="54"/>
      <c r="Y69" s="54"/>
      <c r="Z69" s="54"/>
      <c r="AA69" s="54"/>
      <c r="AB69" s="54"/>
    </row>
    <row r="70" spans="4:28" ht="13.5" customHeight="1" x14ac:dyDescent="0.2">
      <c r="D70" s="54"/>
      <c r="E70" s="54"/>
      <c r="F70" s="54"/>
      <c r="G70" s="54"/>
      <c r="H70" s="54"/>
      <c r="I70" s="54"/>
      <c r="J70" s="54"/>
      <c r="K70" s="54"/>
      <c r="L70" s="54"/>
      <c r="M70" s="54"/>
      <c r="N70" s="54"/>
      <c r="O70" s="54"/>
      <c r="P70" s="54"/>
      <c r="Q70" s="54"/>
      <c r="R70" s="54"/>
      <c r="S70" s="54"/>
      <c r="T70" s="54"/>
      <c r="U70" s="54"/>
      <c r="V70" s="54"/>
      <c r="W70" s="54"/>
      <c r="X70" s="54"/>
      <c r="Y70" s="54"/>
      <c r="Z70" s="54"/>
      <c r="AA70" s="54"/>
      <c r="AB70" s="54"/>
    </row>
    <row r="71" spans="4:28" ht="13.5" customHeight="1" x14ac:dyDescent="0.2">
      <c r="D71" s="54"/>
      <c r="E71" s="54"/>
      <c r="F71" s="54"/>
      <c r="G71" s="54"/>
      <c r="H71" s="54"/>
      <c r="I71" s="54"/>
      <c r="J71" s="54"/>
      <c r="K71" s="54"/>
      <c r="L71" s="54"/>
      <c r="M71" s="54"/>
      <c r="N71" s="54"/>
      <c r="O71" s="54"/>
      <c r="P71" s="54"/>
      <c r="Q71" s="54"/>
      <c r="R71" s="54"/>
      <c r="S71" s="54"/>
      <c r="T71" s="54"/>
      <c r="U71" s="54"/>
      <c r="V71" s="54"/>
      <c r="W71" s="54"/>
      <c r="X71" s="54"/>
      <c r="Y71" s="54"/>
      <c r="Z71" s="54"/>
      <c r="AA71" s="54"/>
      <c r="AB71" s="54"/>
    </row>
    <row r="72" spans="4:28" ht="13.5" customHeight="1" x14ac:dyDescent="0.2">
      <c r="D72" s="54"/>
      <c r="E72" s="54"/>
      <c r="F72" s="54"/>
      <c r="G72" s="54"/>
      <c r="H72" s="54"/>
      <c r="I72" s="54"/>
      <c r="J72" s="54"/>
      <c r="K72" s="54"/>
      <c r="L72" s="54"/>
      <c r="M72" s="54"/>
      <c r="N72" s="54"/>
      <c r="O72" s="54"/>
      <c r="P72" s="54"/>
      <c r="Q72" s="54"/>
      <c r="R72" s="54"/>
      <c r="S72" s="54"/>
      <c r="T72" s="54"/>
      <c r="U72" s="54"/>
      <c r="V72" s="54"/>
      <c r="W72" s="54"/>
      <c r="X72" s="54"/>
      <c r="Y72" s="54"/>
      <c r="Z72" s="54"/>
      <c r="AA72" s="54"/>
      <c r="AB72" s="54"/>
    </row>
    <row r="73" spans="4:28" ht="13.5" customHeight="1" x14ac:dyDescent="0.2">
      <c r="D73" s="54"/>
      <c r="E73" s="54"/>
      <c r="F73" s="54"/>
      <c r="G73" s="54"/>
      <c r="H73" s="54"/>
      <c r="I73" s="54"/>
      <c r="J73" s="54"/>
      <c r="K73" s="54"/>
      <c r="L73" s="54"/>
      <c r="M73" s="54"/>
      <c r="N73" s="54"/>
      <c r="O73" s="54"/>
      <c r="P73" s="54"/>
      <c r="Q73" s="54"/>
      <c r="R73" s="54"/>
      <c r="S73" s="54"/>
      <c r="T73" s="54"/>
      <c r="U73" s="54"/>
      <c r="V73" s="54"/>
      <c r="W73" s="54"/>
      <c r="X73" s="54"/>
      <c r="Y73" s="54"/>
      <c r="Z73" s="54"/>
      <c r="AA73" s="54"/>
      <c r="AB73" s="54"/>
    </row>
    <row r="74" spans="4:28" ht="13.5" customHeight="1" x14ac:dyDescent="0.2">
      <c r="D74" s="54"/>
      <c r="E74" s="54"/>
      <c r="F74" s="54"/>
      <c r="G74" s="54"/>
      <c r="H74" s="54"/>
      <c r="I74" s="54"/>
      <c r="J74" s="54"/>
      <c r="K74" s="54"/>
      <c r="L74" s="54"/>
      <c r="M74" s="54"/>
      <c r="N74" s="54"/>
      <c r="O74" s="54"/>
      <c r="P74" s="54"/>
      <c r="Q74" s="54"/>
      <c r="R74" s="54"/>
      <c r="S74" s="54"/>
      <c r="T74" s="54"/>
      <c r="U74" s="54"/>
      <c r="V74" s="54"/>
      <c r="W74" s="54"/>
      <c r="X74" s="54"/>
      <c r="Y74" s="54"/>
      <c r="Z74" s="54"/>
      <c r="AA74" s="54"/>
      <c r="AB74" s="54"/>
    </row>
    <row r="75" spans="4:28" ht="13.5" customHeight="1" x14ac:dyDescent="0.2">
      <c r="D75" s="54"/>
      <c r="E75" s="54"/>
      <c r="F75" s="54"/>
      <c r="G75" s="54"/>
      <c r="H75" s="54"/>
      <c r="I75" s="54"/>
      <c r="J75" s="54"/>
      <c r="K75" s="54"/>
      <c r="L75" s="54"/>
      <c r="M75" s="54"/>
      <c r="N75" s="54"/>
      <c r="O75" s="54"/>
      <c r="P75" s="54"/>
      <c r="Q75" s="54"/>
      <c r="R75" s="54"/>
      <c r="S75" s="54"/>
      <c r="T75" s="54"/>
      <c r="U75" s="54"/>
      <c r="V75" s="54"/>
      <c r="W75" s="54"/>
      <c r="X75" s="54"/>
      <c r="Y75" s="54"/>
      <c r="Z75" s="54"/>
      <c r="AA75" s="54"/>
      <c r="AB75" s="54"/>
    </row>
    <row r="76" spans="4:28" ht="13.5" customHeight="1" x14ac:dyDescent="0.2">
      <c r="D76" s="54"/>
      <c r="E76" s="54"/>
      <c r="F76" s="54"/>
      <c r="G76" s="54"/>
      <c r="H76" s="54"/>
      <c r="I76" s="54"/>
      <c r="J76" s="54"/>
      <c r="K76" s="54"/>
      <c r="L76" s="54"/>
      <c r="M76" s="54"/>
      <c r="N76" s="54"/>
      <c r="O76" s="54"/>
      <c r="P76" s="54"/>
      <c r="Q76" s="54"/>
      <c r="R76" s="54"/>
      <c r="S76" s="54"/>
      <c r="T76" s="54"/>
      <c r="U76" s="54"/>
      <c r="V76" s="54"/>
      <c r="W76" s="54"/>
      <c r="X76" s="54"/>
      <c r="Y76" s="54"/>
      <c r="Z76" s="54"/>
      <c r="AA76" s="54"/>
      <c r="AB76" s="54"/>
    </row>
    <row r="77" spans="4:28" ht="13.5" customHeight="1" x14ac:dyDescent="0.2">
      <c r="D77" s="54"/>
      <c r="E77" s="54"/>
      <c r="F77" s="54"/>
      <c r="G77" s="54"/>
      <c r="H77" s="54"/>
      <c r="I77" s="54"/>
      <c r="J77" s="54"/>
      <c r="K77" s="54"/>
      <c r="L77" s="54"/>
      <c r="M77" s="54"/>
      <c r="N77" s="54"/>
      <c r="O77" s="54"/>
      <c r="P77" s="54"/>
      <c r="Q77" s="54"/>
      <c r="R77" s="54"/>
      <c r="S77" s="54"/>
      <c r="T77" s="54"/>
      <c r="U77" s="54"/>
      <c r="V77" s="54"/>
      <c r="W77" s="54"/>
      <c r="X77" s="54"/>
      <c r="Y77" s="54"/>
      <c r="Z77" s="54"/>
      <c r="AA77" s="54"/>
      <c r="AB77" s="54"/>
    </row>
    <row r="78" spans="4:28" ht="13.5" customHeight="1" x14ac:dyDescent="0.2">
      <c r="D78" s="54"/>
      <c r="E78" s="54"/>
      <c r="F78" s="54"/>
      <c r="G78" s="54"/>
      <c r="H78" s="54"/>
      <c r="I78" s="54"/>
      <c r="J78" s="54"/>
      <c r="K78" s="54"/>
      <c r="L78" s="54"/>
      <c r="M78" s="54"/>
      <c r="N78" s="54"/>
      <c r="O78" s="54"/>
      <c r="P78" s="54"/>
      <c r="Q78" s="54"/>
      <c r="R78" s="54"/>
      <c r="S78" s="54"/>
      <c r="T78" s="54"/>
      <c r="U78" s="54"/>
      <c r="V78" s="54"/>
      <c r="W78" s="54"/>
      <c r="X78" s="54"/>
      <c r="Y78" s="54"/>
      <c r="Z78" s="54"/>
      <c r="AA78" s="54"/>
      <c r="AB78" s="54"/>
    </row>
    <row r="79" spans="4:28" ht="13.5" customHeight="1" x14ac:dyDescent="0.2">
      <c r="D79" s="54"/>
      <c r="E79" s="54"/>
      <c r="F79" s="54"/>
      <c r="G79" s="54"/>
      <c r="H79" s="54"/>
      <c r="I79" s="54"/>
      <c r="J79" s="54"/>
      <c r="K79" s="54"/>
      <c r="L79" s="54"/>
      <c r="M79" s="54"/>
      <c r="N79" s="54"/>
      <c r="O79" s="54"/>
      <c r="P79" s="54"/>
      <c r="Q79" s="54"/>
      <c r="R79" s="54"/>
      <c r="S79" s="54"/>
      <c r="T79" s="54"/>
      <c r="U79" s="54"/>
      <c r="V79" s="54"/>
      <c r="W79" s="54"/>
      <c r="X79" s="54"/>
      <c r="Y79" s="54"/>
      <c r="Z79" s="54"/>
      <c r="AA79" s="54"/>
      <c r="AB79" s="54"/>
    </row>
    <row r="80" spans="4:28" ht="13.5" customHeight="1" x14ac:dyDescent="0.2">
      <c r="D80" s="54"/>
      <c r="E80" s="54"/>
      <c r="F80" s="54"/>
      <c r="G80" s="54"/>
      <c r="H80" s="54"/>
      <c r="I80" s="54"/>
      <c r="J80" s="54"/>
      <c r="K80" s="54"/>
      <c r="L80" s="54"/>
      <c r="M80" s="54"/>
      <c r="N80" s="54"/>
      <c r="O80" s="54"/>
      <c r="P80" s="54"/>
      <c r="Q80" s="54"/>
      <c r="R80" s="54"/>
      <c r="S80" s="54"/>
      <c r="T80" s="54"/>
      <c r="U80" s="54"/>
      <c r="V80" s="54"/>
      <c r="W80" s="54"/>
      <c r="X80" s="54"/>
      <c r="Y80" s="54"/>
      <c r="Z80" s="54"/>
      <c r="AA80" s="54"/>
      <c r="AB80" s="54"/>
    </row>
    <row r="81" spans="4:28" ht="13.5" customHeight="1" x14ac:dyDescent="0.2">
      <c r="D81" s="54"/>
      <c r="E81" s="54"/>
      <c r="F81" s="54"/>
      <c r="G81" s="54"/>
      <c r="H81" s="54"/>
      <c r="I81" s="54"/>
      <c r="J81" s="54"/>
      <c r="K81" s="54"/>
      <c r="L81" s="54"/>
      <c r="M81" s="54"/>
      <c r="N81" s="54"/>
      <c r="O81" s="54"/>
      <c r="P81" s="54"/>
      <c r="Q81" s="54"/>
      <c r="R81" s="54"/>
      <c r="S81" s="54"/>
      <c r="T81" s="54"/>
      <c r="U81" s="54"/>
      <c r="V81" s="54"/>
      <c r="W81" s="54"/>
      <c r="X81" s="54"/>
      <c r="Y81" s="54"/>
      <c r="Z81" s="54"/>
      <c r="AA81" s="54"/>
      <c r="AB81" s="54"/>
    </row>
    <row r="82" spans="4:28" ht="13.5" customHeight="1" x14ac:dyDescent="0.2">
      <c r="D82" s="54"/>
      <c r="E82" s="54"/>
      <c r="F82" s="54"/>
      <c r="G82" s="54"/>
      <c r="H82" s="54"/>
      <c r="I82" s="54"/>
      <c r="J82" s="54"/>
      <c r="K82" s="54"/>
      <c r="L82" s="54"/>
      <c r="M82" s="54"/>
      <c r="N82" s="54"/>
      <c r="O82" s="54"/>
      <c r="P82" s="54"/>
      <c r="Q82" s="54"/>
      <c r="R82" s="54"/>
      <c r="S82" s="54"/>
      <c r="T82" s="54"/>
      <c r="U82" s="54"/>
      <c r="V82" s="54"/>
      <c r="W82" s="54"/>
      <c r="X82" s="54"/>
      <c r="Y82" s="54"/>
      <c r="Z82" s="54"/>
      <c r="AA82" s="54"/>
      <c r="AB82" s="54"/>
    </row>
    <row r="83" spans="4:28" ht="13.5" customHeight="1" x14ac:dyDescent="0.2">
      <c r="D83" s="54"/>
      <c r="E83" s="54"/>
      <c r="F83" s="54"/>
      <c r="G83" s="54"/>
      <c r="H83" s="54"/>
      <c r="I83" s="54"/>
      <c r="J83" s="54"/>
      <c r="K83" s="54"/>
      <c r="L83" s="54"/>
      <c r="M83" s="54"/>
      <c r="N83" s="54"/>
      <c r="O83" s="54"/>
      <c r="P83" s="54"/>
      <c r="Q83" s="54"/>
      <c r="R83" s="54"/>
      <c r="S83" s="54"/>
      <c r="T83" s="54"/>
      <c r="U83" s="54"/>
      <c r="V83" s="54"/>
      <c r="W83" s="54"/>
      <c r="X83" s="54"/>
      <c r="Y83" s="54"/>
      <c r="Z83" s="54"/>
      <c r="AA83" s="54"/>
      <c r="AB83" s="54"/>
    </row>
    <row r="84" spans="4:28" ht="13.5" customHeight="1" x14ac:dyDescent="0.2">
      <c r="D84" s="54"/>
      <c r="E84" s="54"/>
      <c r="F84" s="54"/>
      <c r="G84" s="54"/>
      <c r="H84" s="54"/>
      <c r="I84" s="54"/>
      <c r="J84" s="54"/>
      <c r="K84" s="54"/>
      <c r="L84" s="54"/>
      <c r="M84" s="54"/>
      <c r="N84" s="54"/>
      <c r="O84" s="54"/>
      <c r="P84" s="54"/>
      <c r="Q84" s="54"/>
      <c r="R84" s="54"/>
      <c r="S84" s="54"/>
      <c r="T84" s="54"/>
      <c r="U84" s="54"/>
      <c r="V84" s="54"/>
      <c r="W84" s="54"/>
      <c r="X84" s="54"/>
      <c r="Y84" s="54"/>
      <c r="Z84" s="54"/>
      <c r="AA84" s="54"/>
      <c r="AB84" s="54"/>
    </row>
    <row r="85" spans="4:28" ht="13.5" customHeight="1" x14ac:dyDescent="0.2"/>
    <row r="86" spans="4:28" ht="13.5" customHeight="1" x14ac:dyDescent="0.2"/>
    <row r="87" spans="4:28" ht="13.5" customHeight="1" x14ac:dyDescent="0.2"/>
    <row r="88" spans="4:28" ht="13.5" customHeight="1" x14ac:dyDescent="0.2"/>
    <row r="89" spans="4:28" ht="13.5" customHeight="1" x14ac:dyDescent="0.2"/>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2" fitToHeight="10" orientation="landscape" r:id="rId1"/>
  <headerFooter>
    <oddFooter>&amp;R&amp;P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tabSelected="1"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295</v>
      </c>
      <c r="D4" s="58" t="s">
        <v>294</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119</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293</v>
      </c>
      <c r="D11" s="84"/>
      <c r="E11" s="84"/>
      <c r="F11" s="84"/>
      <c r="G11" s="84"/>
      <c r="H11" s="84"/>
      <c r="I11" s="84" t="s">
        <v>292</v>
      </c>
      <c r="J11" s="84"/>
      <c r="K11" s="84"/>
      <c r="L11" s="84" t="s">
        <v>291</v>
      </c>
      <c r="M11" s="84"/>
      <c r="N11" s="84"/>
      <c r="O11" s="84"/>
      <c r="P11" s="23" t="s">
        <v>32</v>
      </c>
      <c r="Q11" s="23" t="s">
        <v>290</v>
      </c>
      <c r="R11" s="23" t="s">
        <v>164</v>
      </c>
      <c r="S11" s="23" t="s">
        <v>164</v>
      </c>
      <c r="T11" s="23">
        <v>85</v>
      </c>
      <c r="U11" s="109">
        <f>94</f>
        <v>94</v>
      </c>
    </row>
    <row r="12" spans="1:22" ht="75" customHeight="1" thickTop="1" thickBot="1" x14ac:dyDescent="0.25">
      <c r="A12" s="21"/>
      <c r="B12" s="110" t="s">
        <v>34</v>
      </c>
      <c r="C12" s="84" t="s">
        <v>289</v>
      </c>
      <c r="D12" s="84"/>
      <c r="E12" s="84"/>
      <c r="F12" s="84"/>
      <c r="G12" s="84"/>
      <c r="H12" s="84"/>
      <c r="I12" s="84" t="s">
        <v>281</v>
      </c>
      <c r="J12" s="84"/>
      <c r="K12" s="84"/>
      <c r="L12" s="84" t="s">
        <v>288</v>
      </c>
      <c r="M12" s="84"/>
      <c r="N12" s="84"/>
      <c r="O12" s="84"/>
      <c r="P12" s="23" t="s">
        <v>32</v>
      </c>
      <c r="Q12" s="23" t="s">
        <v>287</v>
      </c>
      <c r="R12" s="23" t="s">
        <v>164</v>
      </c>
      <c r="S12" s="23" t="s">
        <v>164</v>
      </c>
      <c r="T12" s="23">
        <v>69</v>
      </c>
      <c r="U12" s="109">
        <f>106</f>
        <v>106</v>
      </c>
    </row>
    <row r="13" spans="1:22" ht="75" customHeight="1" thickTop="1" thickBot="1" x14ac:dyDescent="0.25">
      <c r="A13" s="21"/>
      <c r="B13" s="110" t="s">
        <v>36</v>
      </c>
      <c r="C13" s="84" t="s">
        <v>286</v>
      </c>
      <c r="D13" s="84"/>
      <c r="E13" s="84"/>
      <c r="F13" s="84"/>
      <c r="G13" s="84"/>
      <c r="H13" s="84"/>
      <c r="I13" s="84" t="s">
        <v>285</v>
      </c>
      <c r="J13" s="84"/>
      <c r="K13" s="84"/>
      <c r="L13" s="84" t="s">
        <v>284</v>
      </c>
      <c r="M13" s="84"/>
      <c r="N13" s="84"/>
      <c r="O13" s="84"/>
      <c r="P13" s="23" t="s">
        <v>32</v>
      </c>
      <c r="Q13" s="23" t="s">
        <v>283</v>
      </c>
      <c r="R13" s="23" t="s">
        <v>164</v>
      </c>
      <c r="S13" s="23">
        <v>65</v>
      </c>
      <c r="T13" s="23">
        <v>69</v>
      </c>
      <c r="U13" s="109">
        <f>106</f>
        <v>106</v>
      </c>
    </row>
    <row r="14" spans="1:22" ht="75" customHeight="1" thickTop="1" thickBot="1" x14ac:dyDescent="0.25">
      <c r="A14" s="21"/>
      <c r="B14" s="110" t="s">
        <v>37</v>
      </c>
      <c r="C14" s="84" t="s">
        <v>282</v>
      </c>
      <c r="D14" s="84"/>
      <c r="E14" s="84"/>
      <c r="F14" s="84"/>
      <c r="G14" s="84"/>
      <c r="H14" s="84"/>
      <c r="I14" s="84" t="s">
        <v>281</v>
      </c>
      <c r="J14" s="84"/>
      <c r="K14" s="84"/>
      <c r="L14" s="84" t="s">
        <v>280</v>
      </c>
      <c r="M14" s="84"/>
      <c r="N14" s="84"/>
      <c r="O14" s="84"/>
      <c r="P14" s="23" t="s">
        <v>32</v>
      </c>
      <c r="Q14" s="23" t="s">
        <v>165</v>
      </c>
      <c r="R14" s="23" t="s">
        <v>164</v>
      </c>
      <c r="S14" s="23" t="s">
        <v>164</v>
      </c>
      <c r="T14" s="23">
        <v>44</v>
      </c>
      <c r="U14" s="109">
        <f>64</f>
        <v>64</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149.467106</f>
        <v>149.467106</v>
      </c>
      <c r="T18" s="105">
        <f>92.808903</f>
        <v>92.808903000000001</v>
      </c>
      <c r="U18" s="104">
        <f>+IF(ISERR(T18/S18*100),"N/A",ROUND(T18/S18*100,1))</f>
        <v>62.1</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92.808903</f>
        <v>92.808903000000001</v>
      </c>
      <c r="T19" s="105">
        <f>92.808903</f>
        <v>92.808903000000001</v>
      </c>
      <c r="U19" s="104">
        <f>+IF(ISERR(T19/S19*100),"N/A",ROUND(T19/S19*100,1))</f>
        <v>100</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23.45" customHeight="1" x14ac:dyDescent="0.2">
      <c r="B22" s="103" t="s">
        <v>279</v>
      </c>
      <c r="C22" s="86"/>
      <c r="D22" s="86"/>
      <c r="E22" s="86"/>
      <c r="F22" s="86"/>
      <c r="G22" s="86"/>
      <c r="H22" s="86"/>
      <c r="I22" s="86"/>
      <c r="J22" s="86"/>
      <c r="K22" s="86"/>
      <c r="L22" s="86"/>
      <c r="M22" s="86"/>
      <c r="N22" s="86"/>
      <c r="O22" s="86"/>
      <c r="P22" s="86"/>
      <c r="Q22" s="86"/>
      <c r="R22" s="86"/>
      <c r="S22" s="86"/>
      <c r="T22" s="86"/>
      <c r="U22" s="102"/>
    </row>
    <row r="23" spans="2:21" ht="17.45" customHeight="1" x14ac:dyDescent="0.2">
      <c r="B23" s="103" t="s">
        <v>278</v>
      </c>
      <c r="C23" s="86"/>
      <c r="D23" s="86"/>
      <c r="E23" s="86"/>
      <c r="F23" s="86"/>
      <c r="G23" s="86"/>
      <c r="H23" s="86"/>
      <c r="I23" s="86"/>
      <c r="J23" s="86"/>
      <c r="K23" s="86"/>
      <c r="L23" s="86"/>
      <c r="M23" s="86"/>
      <c r="N23" s="86"/>
      <c r="O23" s="86"/>
      <c r="P23" s="86"/>
      <c r="Q23" s="86"/>
      <c r="R23" s="86"/>
      <c r="S23" s="86"/>
      <c r="T23" s="86"/>
      <c r="U23" s="102"/>
    </row>
    <row r="24" spans="2:21" ht="26.45" customHeight="1" x14ac:dyDescent="0.2">
      <c r="B24" s="103" t="s">
        <v>277</v>
      </c>
      <c r="C24" s="86"/>
      <c r="D24" s="86"/>
      <c r="E24" s="86"/>
      <c r="F24" s="86"/>
      <c r="G24" s="86"/>
      <c r="H24" s="86"/>
      <c r="I24" s="86"/>
      <c r="J24" s="86"/>
      <c r="K24" s="86"/>
      <c r="L24" s="86"/>
      <c r="M24" s="86"/>
      <c r="N24" s="86"/>
      <c r="O24" s="86"/>
      <c r="P24" s="86"/>
      <c r="Q24" s="86"/>
      <c r="R24" s="86"/>
      <c r="S24" s="86"/>
      <c r="T24" s="86"/>
      <c r="U24" s="102"/>
    </row>
    <row r="25" spans="2:21" ht="55.35" customHeight="1" thickBot="1" x14ac:dyDescent="0.25">
      <c r="B25" s="101" t="s">
        <v>276</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7"/>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321</v>
      </c>
      <c r="D4" s="58" t="s">
        <v>320</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96</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319</v>
      </c>
      <c r="D11" s="84"/>
      <c r="E11" s="84"/>
      <c r="F11" s="84"/>
      <c r="G11" s="84"/>
      <c r="H11" s="84"/>
      <c r="I11" s="84" t="s">
        <v>318</v>
      </c>
      <c r="J11" s="84"/>
      <c r="K11" s="84"/>
      <c r="L11" s="84" t="s">
        <v>317</v>
      </c>
      <c r="M11" s="84"/>
      <c r="N11" s="84"/>
      <c r="O11" s="84"/>
      <c r="P11" s="23" t="s">
        <v>316</v>
      </c>
      <c r="Q11" s="23" t="s">
        <v>33</v>
      </c>
      <c r="R11" s="23">
        <v>100</v>
      </c>
      <c r="S11" s="23">
        <v>100</v>
      </c>
      <c r="T11" s="23">
        <v>132.9</v>
      </c>
      <c r="U11" s="109">
        <f>132.9</f>
        <v>132.9</v>
      </c>
    </row>
    <row r="12" spans="1:22" ht="75" customHeight="1" thickTop="1" thickBot="1" x14ac:dyDescent="0.25">
      <c r="A12" s="21"/>
      <c r="B12" s="110" t="s">
        <v>34</v>
      </c>
      <c r="C12" s="84" t="s">
        <v>315</v>
      </c>
      <c r="D12" s="84"/>
      <c r="E12" s="84"/>
      <c r="F12" s="84"/>
      <c r="G12" s="84"/>
      <c r="H12" s="84"/>
      <c r="I12" s="84" t="s">
        <v>314</v>
      </c>
      <c r="J12" s="84"/>
      <c r="K12" s="84"/>
      <c r="L12" s="84" t="s">
        <v>313</v>
      </c>
      <c r="M12" s="84"/>
      <c r="N12" s="84"/>
      <c r="O12" s="84"/>
      <c r="P12" s="23" t="s">
        <v>312</v>
      </c>
      <c r="Q12" s="23" t="s">
        <v>33</v>
      </c>
      <c r="R12" s="23">
        <v>105.02</v>
      </c>
      <c r="S12" s="23">
        <v>108.37</v>
      </c>
      <c r="T12" s="23">
        <v>128.9</v>
      </c>
      <c r="U12" s="109">
        <f>118.9</f>
        <v>118.9</v>
      </c>
    </row>
    <row r="13" spans="1:22" ht="75" customHeight="1" thickTop="1" thickBot="1" x14ac:dyDescent="0.25">
      <c r="A13" s="21"/>
      <c r="B13" s="110" t="s">
        <v>36</v>
      </c>
      <c r="C13" s="84" t="s">
        <v>311</v>
      </c>
      <c r="D13" s="84"/>
      <c r="E13" s="84"/>
      <c r="F13" s="84"/>
      <c r="G13" s="84"/>
      <c r="H13" s="84"/>
      <c r="I13" s="84" t="s">
        <v>310</v>
      </c>
      <c r="J13" s="84"/>
      <c r="K13" s="84"/>
      <c r="L13" s="84" t="s">
        <v>309</v>
      </c>
      <c r="M13" s="84"/>
      <c r="N13" s="84"/>
      <c r="O13" s="84"/>
      <c r="P13" s="23" t="s">
        <v>308</v>
      </c>
      <c r="Q13" s="23" t="s">
        <v>38</v>
      </c>
      <c r="R13" s="111" t="s">
        <v>164</v>
      </c>
      <c r="S13" s="111">
        <v>816</v>
      </c>
      <c r="T13" s="111">
        <v>971</v>
      </c>
      <c r="U13" s="109">
        <f>118.9</f>
        <v>118.9</v>
      </c>
    </row>
    <row r="14" spans="1:22" ht="75" customHeight="1" thickTop="1" x14ac:dyDescent="0.2">
      <c r="A14" s="21"/>
      <c r="B14" s="110" t="s">
        <v>37</v>
      </c>
      <c r="C14" s="84" t="s">
        <v>307</v>
      </c>
      <c r="D14" s="84"/>
      <c r="E14" s="84"/>
      <c r="F14" s="84"/>
      <c r="G14" s="84"/>
      <c r="H14" s="84"/>
      <c r="I14" s="84" t="s">
        <v>306</v>
      </c>
      <c r="J14" s="84"/>
      <c r="K14" s="84"/>
      <c r="L14" s="84" t="s">
        <v>305</v>
      </c>
      <c r="M14" s="84"/>
      <c r="N14" s="84"/>
      <c r="O14" s="84"/>
      <c r="P14" s="23" t="s">
        <v>198</v>
      </c>
      <c r="Q14" s="23" t="s">
        <v>38</v>
      </c>
      <c r="R14" s="111" t="s">
        <v>164</v>
      </c>
      <c r="S14" s="111">
        <v>8</v>
      </c>
      <c r="T14" s="111">
        <v>9.6</v>
      </c>
      <c r="U14" s="109">
        <f>120</f>
        <v>120</v>
      </c>
    </row>
    <row r="15" spans="1:22" ht="75" customHeight="1" thickBot="1" x14ac:dyDescent="0.25">
      <c r="A15" s="21"/>
      <c r="B15" s="108" t="s">
        <v>35</v>
      </c>
      <c r="C15" s="98" t="s">
        <v>304</v>
      </c>
      <c r="D15" s="98"/>
      <c r="E15" s="98"/>
      <c r="F15" s="98"/>
      <c r="G15" s="98"/>
      <c r="H15" s="98"/>
      <c r="I15" s="98" t="s">
        <v>303</v>
      </c>
      <c r="J15" s="98"/>
      <c r="K15" s="98"/>
      <c r="L15" s="98" t="s">
        <v>302</v>
      </c>
      <c r="M15" s="98"/>
      <c r="N15" s="98"/>
      <c r="O15" s="98"/>
      <c r="P15" s="25" t="s">
        <v>301</v>
      </c>
      <c r="Q15" s="25" t="s">
        <v>38</v>
      </c>
      <c r="R15" s="107" t="s">
        <v>164</v>
      </c>
      <c r="S15" s="107">
        <v>816</v>
      </c>
      <c r="T15" s="107">
        <v>971</v>
      </c>
      <c r="U15" s="106">
        <f>118.9</f>
        <v>118.9</v>
      </c>
    </row>
    <row r="16" spans="1:22" ht="14.25" customHeight="1" thickTop="1" thickBot="1" x14ac:dyDescent="0.25">
      <c r="B16" s="4" t="s">
        <v>39</v>
      </c>
      <c r="C16" s="5"/>
      <c r="D16" s="5"/>
      <c r="E16" s="5"/>
      <c r="F16" s="5"/>
      <c r="G16" s="5"/>
      <c r="H16" s="6"/>
      <c r="I16" s="6"/>
      <c r="J16" s="6"/>
      <c r="K16" s="6"/>
      <c r="L16" s="6"/>
      <c r="M16" s="6"/>
      <c r="N16" s="6"/>
      <c r="O16" s="6"/>
      <c r="P16" s="6"/>
      <c r="Q16" s="6"/>
      <c r="R16" s="6"/>
      <c r="S16" s="6"/>
      <c r="T16" s="6"/>
      <c r="U16" s="7"/>
      <c r="V16" s="27"/>
    </row>
    <row r="17" spans="2:21" ht="26.25" customHeight="1" thickTop="1" x14ac:dyDescent="0.2">
      <c r="B17" s="28"/>
      <c r="C17" s="29"/>
      <c r="D17" s="29"/>
      <c r="E17" s="29"/>
      <c r="F17" s="29"/>
      <c r="G17" s="29"/>
      <c r="H17" s="30"/>
      <c r="I17" s="30"/>
      <c r="J17" s="30"/>
      <c r="K17" s="30"/>
      <c r="L17" s="30"/>
      <c r="M17" s="30"/>
      <c r="N17" s="30"/>
      <c r="O17" s="30"/>
      <c r="P17" s="30"/>
      <c r="Q17" s="30"/>
      <c r="R17" s="31"/>
      <c r="S17" s="49" t="s">
        <v>26</v>
      </c>
      <c r="T17" s="49" t="s">
        <v>40</v>
      </c>
      <c r="U17" s="18" t="s">
        <v>41</v>
      </c>
    </row>
    <row r="18" spans="2:21" ht="26.25" customHeight="1" thickBot="1" x14ac:dyDescent="0.25">
      <c r="B18" s="33"/>
      <c r="C18" s="34"/>
      <c r="D18" s="34"/>
      <c r="E18" s="34"/>
      <c r="F18" s="34"/>
      <c r="G18" s="34"/>
      <c r="H18" s="35"/>
      <c r="I18" s="35"/>
      <c r="J18" s="35"/>
      <c r="K18" s="35"/>
      <c r="L18" s="35"/>
      <c r="M18" s="35"/>
      <c r="N18" s="35"/>
      <c r="O18" s="35"/>
      <c r="P18" s="35"/>
      <c r="Q18" s="35"/>
      <c r="R18" s="35"/>
      <c r="S18" s="36" t="s">
        <v>42</v>
      </c>
      <c r="T18" s="37" t="s">
        <v>42</v>
      </c>
      <c r="U18" s="37" t="s">
        <v>43</v>
      </c>
    </row>
    <row r="19" spans="2:21" ht="13.5" customHeight="1" thickBot="1" x14ac:dyDescent="0.25">
      <c r="B19" s="91" t="s">
        <v>44</v>
      </c>
      <c r="C19" s="92"/>
      <c r="D19" s="92"/>
      <c r="E19" s="47"/>
      <c r="F19" s="47"/>
      <c r="G19" s="47"/>
      <c r="H19" s="39"/>
      <c r="I19" s="39"/>
      <c r="J19" s="39"/>
      <c r="K19" s="39"/>
      <c r="L19" s="39"/>
      <c r="M19" s="39"/>
      <c r="N19" s="39"/>
      <c r="O19" s="39"/>
      <c r="P19" s="40"/>
      <c r="Q19" s="40"/>
      <c r="R19" s="40"/>
      <c r="S19" s="105">
        <f>45.417244</f>
        <v>45.417243999999997</v>
      </c>
      <c r="T19" s="105">
        <f>35.939243</f>
        <v>35.939242999999998</v>
      </c>
      <c r="U19" s="104">
        <f>+IF(ISERR(T19/S19*100),"N/A",ROUND(T19/S19*100,1))</f>
        <v>79.099999999999994</v>
      </c>
    </row>
    <row r="20" spans="2:21" ht="13.5" customHeight="1" thickBot="1" x14ac:dyDescent="0.25">
      <c r="B20" s="93" t="s">
        <v>45</v>
      </c>
      <c r="C20" s="94"/>
      <c r="D20" s="94"/>
      <c r="E20" s="48"/>
      <c r="F20" s="48"/>
      <c r="G20" s="48"/>
      <c r="H20" s="42"/>
      <c r="I20" s="42"/>
      <c r="J20" s="42"/>
      <c r="K20" s="42"/>
      <c r="L20" s="42"/>
      <c r="M20" s="42"/>
      <c r="N20" s="42"/>
      <c r="O20" s="42"/>
      <c r="P20" s="43"/>
      <c r="Q20" s="43"/>
      <c r="R20" s="43"/>
      <c r="S20" s="105">
        <f>34.70053</f>
        <v>34.700530000000001</v>
      </c>
      <c r="T20" s="105">
        <f>35.939243</f>
        <v>35.939242999999998</v>
      </c>
      <c r="U20" s="104">
        <f>+IF(ISERR(T20/S20*100),"N/A",ROUND(T20/S20*100,1))</f>
        <v>103.6</v>
      </c>
    </row>
    <row r="21" spans="2:21" ht="14.85" customHeight="1" thickTop="1" thickBot="1" x14ac:dyDescent="0.25">
      <c r="B21" s="4" t="s">
        <v>46</v>
      </c>
      <c r="C21" s="5"/>
      <c r="D21" s="5"/>
      <c r="E21" s="5"/>
      <c r="F21" s="5"/>
      <c r="G21" s="5"/>
      <c r="H21" s="6"/>
      <c r="I21" s="6"/>
      <c r="J21" s="6"/>
      <c r="K21" s="6"/>
      <c r="L21" s="6"/>
      <c r="M21" s="6"/>
      <c r="N21" s="6"/>
      <c r="O21" s="6"/>
      <c r="P21" s="6"/>
      <c r="Q21" s="6"/>
      <c r="R21" s="6"/>
      <c r="S21" s="6"/>
      <c r="T21" s="6"/>
      <c r="U21" s="7"/>
    </row>
    <row r="22" spans="2:21" ht="44.25" customHeight="1" thickTop="1" x14ac:dyDescent="0.2">
      <c r="B22" s="95" t="s">
        <v>47</v>
      </c>
      <c r="C22" s="96"/>
      <c r="D22" s="96"/>
      <c r="E22" s="96"/>
      <c r="F22" s="96"/>
      <c r="G22" s="96"/>
      <c r="H22" s="96"/>
      <c r="I22" s="96"/>
      <c r="J22" s="96"/>
      <c r="K22" s="96"/>
      <c r="L22" s="96"/>
      <c r="M22" s="96"/>
      <c r="N22" s="96"/>
      <c r="O22" s="96"/>
      <c r="P22" s="96"/>
      <c r="Q22" s="96"/>
      <c r="R22" s="96"/>
      <c r="S22" s="96"/>
      <c r="T22" s="96"/>
      <c r="U22" s="97"/>
    </row>
    <row r="23" spans="2:21" ht="79.5" customHeight="1" x14ac:dyDescent="0.2">
      <c r="B23" s="103" t="s">
        <v>300</v>
      </c>
      <c r="C23" s="86"/>
      <c r="D23" s="86"/>
      <c r="E23" s="86"/>
      <c r="F23" s="86"/>
      <c r="G23" s="86"/>
      <c r="H23" s="86"/>
      <c r="I23" s="86"/>
      <c r="J23" s="86"/>
      <c r="K23" s="86"/>
      <c r="L23" s="86"/>
      <c r="M23" s="86"/>
      <c r="N23" s="86"/>
      <c r="O23" s="86"/>
      <c r="P23" s="86"/>
      <c r="Q23" s="86"/>
      <c r="R23" s="86"/>
      <c r="S23" s="86"/>
      <c r="T23" s="86"/>
      <c r="U23" s="102"/>
    </row>
    <row r="24" spans="2:21" ht="23.45" customHeight="1" x14ac:dyDescent="0.2">
      <c r="B24" s="103" t="s">
        <v>299</v>
      </c>
      <c r="C24" s="86"/>
      <c r="D24" s="86"/>
      <c r="E24" s="86"/>
      <c r="F24" s="86"/>
      <c r="G24" s="86"/>
      <c r="H24" s="86"/>
      <c r="I24" s="86"/>
      <c r="J24" s="86"/>
      <c r="K24" s="86"/>
      <c r="L24" s="86"/>
      <c r="M24" s="86"/>
      <c r="N24" s="86"/>
      <c r="O24" s="86"/>
      <c r="P24" s="86"/>
      <c r="Q24" s="86"/>
      <c r="R24" s="86"/>
      <c r="S24" s="86"/>
      <c r="T24" s="86"/>
      <c r="U24" s="102"/>
    </row>
    <row r="25" spans="2:21" ht="21.6" customHeight="1" x14ac:dyDescent="0.2">
      <c r="B25" s="103" t="s">
        <v>298</v>
      </c>
      <c r="C25" s="86"/>
      <c r="D25" s="86"/>
      <c r="E25" s="86"/>
      <c r="F25" s="86"/>
      <c r="G25" s="86"/>
      <c r="H25" s="86"/>
      <c r="I25" s="86"/>
      <c r="J25" s="86"/>
      <c r="K25" s="86"/>
      <c r="L25" s="86"/>
      <c r="M25" s="86"/>
      <c r="N25" s="86"/>
      <c r="O25" s="86"/>
      <c r="P25" s="86"/>
      <c r="Q25" s="86"/>
      <c r="R25" s="86"/>
      <c r="S25" s="86"/>
      <c r="T25" s="86"/>
      <c r="U25" s="102"/>
    </row>
    <row r="26" spans="2:21" ht="25.7" customHeight="1" x14ac:dyDescent="0.2">
      <c r="B26" s="103" t="s">
        <v>297</v>
      </c>
      <c r="C26" s="86"/>
      <c r="D26" s="86"/>
      <c r="E26" s="86"/>
      <c r="F26" s="86"/>
      <c r="G26" s="86"/>
      <c r="H26" s="86"/>
      <c r="I26" s="86"/>
      <c r="J26" s="86"/>
      <c r="K26" s="86"/>
      <c r="L26" s="86"/>
      <c r="M26" s="86"/>
      <c r="N26" s="86"/>
      <c r="O26" s="86"/>
      <c r="P26" s="86"/>
      <c r="Q26" s="86"/>
      <c r="R26" s="86"/>
      <c r="S26" s="86"/>
      <c r="T26" s="86"/>
      <c r="U26" s="102"/>
    </row>
    <row r="27" spans="2:21" ht="27.2" customHeight="1" thickBot="1" x14ac:dyDescent="0.25">
      <c r="B27" s="101" t="s">
        <v>296</v>
      </c>
      <c r="C27" s="100"/>
      <c r="D27" s="100"/>
      <c r="E27" s="100"/>
      <c r="F27" s="100"/>
      <c r="G27" s="100"/>
      <c r="H27" s="100"/>
      <c r="I27" s="100"/>
      <c r="J27" s="100"/>
      <c r="K27" s="100"/>
      <c r="L27" s="100"/>
      <c r="M27" s="100"/>
      <c r="N27" s="100"/>
      <c r="O27" s="100"/>
      <c r="P27" s="100"/>
      <c r="Q27" s="100"/>
      <c r="R27" s="100"/>
      <c r="S27" s="100"/>
      <c r="T27" s="100"/>
      <c r="U27" s="99"/>
    </row>
  </sheetData>
  <mergeCells count="44">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C14:H14"/>
    <mergeCell ref="I14:K14"/>
    <mergeCell ref="L14:O14"/>
    <mergeCell ref="C15:H15"/>
    <mergeCell ref="I15:K15"/>
    <mergeCell ref="L15:O15"/>
    <mergeCell ref="B26:U26"/>
    <mergeCell ref="B27:U27"/>
    <mergeCell ref="B19:D19"/>
    <mergeCell ref="B20:D20"/>
    <mergeCell ref="B22:U22"/>
    <mergeCell ref="B23:U23"/>
    <mergeCell ref="B24:U24"/>
    <mergeCell ref="B25:U25"/>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1" t="s">
        <v>0</v>
      </c>
      <c r="C1" s="51"/>
      <c r="D1" s="51"/>
      <c r="E1" s="51"/>
      <c r="F1" s="51"/>
      <c r="G1" s="51"/>
      <c r="H1" s="51"/>
      <c r="I1" s="51"/>
      <c r="J1" s="51"/>
      <c r="K1" s="51"/>
      <c r="L1" s="51"/>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51.75" customHeight="1" thickTop="1" x14ac:dyDescent="0.2">
      <c r="B4" s="8" t="s">
        <v>5</v>
      </c>
      <c r="C4" s="9" t="s">
        <v>322</v>
      </c>
      <c r="D4" s="58" t="s">
        <v>323</v>
      </c>
      <c r="E4" s="58"/>
      <c r="F4" s="58"/>
      <c r="G4" s="58"/>
      <c r="H4" s="58"/>
      <c r="I4" s="10"/>
      <c r="J4" s="11" t="s">
        <v>6</v>
      </c>
      <c r="K4" s="12" t="s">
        <v>7</v>
      </c>
      <c r="L4" s="59" t="s">
        <v>2</v>
      </c>
      <c r="M4" s="59"/>
      <c r="N4" s="59"/>
      <c r="O4" s="59"/>
      <c r="P4" s="11" t="s">
        <v>8</v>
      </c>
      <c r="Q4" s="59" t="s">
        <v>50</v>
      </c>
      <c r="R4" s="59"/>
      <c r="S4" s="11" t="s">
        <v>9</v>
      </c>
      <c r="T4" s="59" t="s">
        <v>211</v>
      </c>
      <c r="U4" s="60"/>
    </row>
    <row r="5" spans="1:21" ht="15.75" customHeight="1" x14ac:dyDescent="0.2">
      <c r="B5" s="55" t="s">
        <v>10</v>
      </c>
      <c r="C5" s="56"/>
      <c r="D5" s="56"/>
      <c r="E5" s="56"/>
      <c r="F5" s="56"/>
      <c r="G5" s="56"/>
      <c r="H5" s="56"/>
      <c r="I5" s="56"/>
      <c r="J5" s="56"/>
      <c r="K5" s="56"/>
      <c r="L5" s="56"/>
      <c r="M5" s="56"/>
      <c r="N5" s="56"/>
      <c r="O5" s="56"/>
      <c r="P5" s="56"/>
      <c r="Q5" s="56"/>
      <c r="R5" s="56"/>
      <c r="S5" s="56"/>
      <c r="T5" s="56"/>
      <c r="U5" s="57"/>
    </row>
    <row r="6" spans="1:21"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119</v>
      </c>
      <c r="U6" s="62"/>
    </row>
    <row r="7" spans="1:21" ht="14.25" customHeight="1" thickTop="1" thickBot="1" x14ac:dyDescent="0.25">
      <c r="B7" s="4" t="s">
        <v>17</v>
      </c>
      <c r="C7" s="5"/>
      <c r="D7" s="5"/>
      <c r="E7" s="5"/>
      <c r="F7" s="5"/>
      <c r="G7" s="5"/>
      <c r="H7" s="6"/>
      <c r="I7" s="6"/>
      <c r="J7" s="6"/>
      <c r="K7" s="6"/>
      <c r="L7" s="6"/>
      <c r="M7" s="6"/>
      <c r="N7" s="6"/>
      <c r="O7" s="6"/>
      <c r="P7" s="6"/>
      <c r="Q7" s="6"/>
      <c r="R7" s="6"/>
      <c r="S7" s="6"/>
      <c r="T7" s="6"/>
      <c r="U7" s="7"/>
    </row>
    <row r="8" spans="1:21"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1"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1"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1" ht="75" customHeight="1" thickTop="1" thickBot="1" x14ac:dyDescent="0.25">
      <c r="A11" s="21"/>
      <c r="B11" s="110" t="s">
        <v>31</v>
      </c>
      <c r="C11" s="84" t="s">
        <v>324</v>
      </c>
      <c r="D11" s="84"/>
      <c r="E11" s="84"/>
      <c r="F11" s="84"/>
      <c r="G11" s="84"/>
      <c r="H11" s="84"/>
      <c r="I11" s="84" t="s">
        <v>325</v>
      </c>
      <c r="J11" s="84"/>
      <c r="K11" s="84"/>
      <c r="L11" s="84" t="s">
        <v>122</v>
      </c>
      <c r="M11" s="84"/>
      <c r="N11" s="84"/>
      <c r="O11" s="84"/>
      <c r="P11" s="23" t="s">
        <v>104</v>
      </c>
      <c r="Q11" s="23" t="s">
        <v>60</v>
      </c>
      <c r="R11" s="23">
        <v>3.15</v>
      </c>
      <c r="S11" s="23">
        <v>3.15</v>
      </c>
      <c r="T11" s="23">
        <v>2.7</v>
      </c>
      <c r="U11" s="109">
        <f>114.3</f>
        <v>114.3</v>
      </c>
    </row>
    <row r="12" spans="1:21" ht="75" customHeight="1" thickTop="1" thickBot="1" x14ac:dyDescent="0.25">
      <c r="A12" s="21"/>
      <c r="B12" s="110" t="s">
        <v>34</v>
      </c>
      <c r="C12" s="84" t="s">
        <v>326</v>
      </c>
      <c r="D12" s="84"/>
      <c r="E12" s="84"/>
      <c r="F12" s="84"/>
      <c r="G12" s="84"/>
      <c r="H12" s="84"/>
      <c r="I12" s="84" t="s">
        <v>327</v>
      </c>
      <c r="J12" s="84"/>
      <c r="K12" s="84"/>
      <c r="L12" s="84" t="s">
        <v>99</v>
      </c>
      <c r="M12" s="84"/>
      <c r="N12" s="84"/>
      <c r="O12" s="84"/>
      <c r="P12" s="23" t="s">
        <v>100</v>
      </c>
      <c r="Q12" s="23" t="s">
        <v>56</v>
      </c>
      <c r="R12" s="23">
        <v>38</v>
      </c>
      <c r="S12" s="23">
        <v>38</v>
      </c>
      <c r="T12" s="23">
        <v>36.4</v>
      </c>
      <c r="U12" s="109">
        <f>104.21</f>
        <v>104.21</v>
      </c>
    </row>
    <row r="13" spans="1:21" ht="75" customHeight="1" thickTop="1" x14ac:dyDescent="0.2">
      <c r="A13" s="21"/>
      <c r="B13" s="110" t="s">
        <v>36</v>
      </c>
      <c r="C13" s="84" t="s">
        <v>328</v>
      </c>
      <c r="D13" s="84"/>
      <c r="E13" s="84"/>
      <c r="F13" s="84"/>
      <c r="G13" s="84"/>
      <c r="H13" s="84"/>
      <c r="I13" s="84" t="s">
        <v>329</v>
      </c>
      <c r="J13" s="84"/>
      <c r="K13" s="84"/>
      <c r="L13" s="84" t="s">
        <v>330</v>
      </c>
      <c r="M13" s="84"/>
      <c r="N13" s="84"/>
      <c r="O13" s="84"/>
      <c r="P13" s="23" t="s">
        <v>32</v>
      </c>
      <c r="Q13" s="23" t="s">
        <v>132</v>
      </c>
      <c r="R13" s="23">
        <v>43</v>
      </c>
      <c r="S13" s="23">
        <v>43</v>
      </c>
      <c r="T13" s="23">
        <v>40.590000000000003</v>
      </c>
      <c r="U13" s="109">
        <f>94.39</f>
        <v>94.39</v>
      </c>
    </row>
    <row r="14" spans="1:21" ht="75" customHeight="1" x14ac:dyDescent="0.2">
      <c r="A14" s="21"/>
      <c r="B14" s="108" t="s">
        <v>35</v>
      </c>
      <c r="C14" s="98" t="s">
        <v>35</v>
      </c>
      <c r="D14" s="98"/>
      <c r="E14" s="98"/>
      <c r="F14" s="98"/>
      <c r="G14" s="98"/>
      <c r="H14" s="98"/>
      <c r="I14" s="98" t="s">
        <v>331</v>
      </c>
      <c r="J14" s="98"/>
      <c r="K14" s="98"/>
      <c r="L14" s="98" t="s">
        <v>332</v>
      </c>
      <c r="M14" s="98"/>
      <c r="N14" s="98"/>
      <c r="O14" s="98"/>
      <c r="P14" s="25" t="s">
        <v>32</v>
      </c>
      <c r="Q14" s="25" t="s">
        <v>132</v>
      </c>
      <c r="R14" s="25">
        <v>100</v>
      </c>
      <c r="S14" s="25">
        <v>100</v>
      </c>
      <c r="T14" s="25">
        <v>100</v>
      </c>
      <c r="U14" s="106">
        <f>100</f>
        <v>100</v>
      </c>
    </row>
    <row r="15" spans="1:21" ht="75" customHeight="1" thickBot="1" x14ac:dyDescent="0.25">
      <c r="A15" s="21"/>
      <c r="B15" s="108" t="s">
        <v>35</v>
      </c>
      <c r="C15" s="98" t="s">
        <v>35</v>
      </c>
      <c r="D15" s="98"/>
      <c r="E15" s="98"/>
      <c r="F15" s="98"/>
      <c r="G15" s="98"/>
      <c r="H15" s="98"/>
      <c r="I15" s="98" t="s">
        <v>333</v>
      </c>
      <c r="J15" s="98"/>
      <c r="K15" s="98"/>
      <c r="L15" s="98" t="s">
        <v>334</v>
      </c>
      <c r="M15" s="98"/>
      <c r="N15" s="98"/>
      <c r="O15" s="98"/>
      <c r="P15" s="25" t="s">
        <v>135</v>
      </c>
      <c r="Q15" s="25" t="s">
        <v>64</v>
      </c>
      <c r="R15" s="25">
        <v>3.1</v>
      </c>
      <c r="S15" s="25">
        <v>3.1</v>
      </c>
      <c r="T15" s="25">
        <v>3.22</v>
      </c>
      <c r="U15" s="106">
        <f>103.85</f>
        <v>103.85</v>
      </c>
    </row>
    <row r="16" spans="1:21" ht="75" customHeight="1" thickTop="1" x14ac:dyDescent="0.2">
      <c r="A16" s="21"/>
      <c r="B16" s="110" t="s">
        <v>37</v>
      </c>
      <c r="C16" s="84" t="s">
        <v>335</v>
      </c>
      <c r="D16" s="84"/>
      <c r="E16" s="84"/>
      <c r="F16" s="84"/>
      <c r="G16" s="84"/>
      <c r="H16" s="84"/>
      <c r="I16" s="84" t="s">
        <v>336</v>
      </c>
      <c r="J16" s="84"/>
      <c r="K16" s="84"/>
      <c r="L16" s="84" t="s">
        <v>337</v>
      </c>
      <c r="M16" s="84"/>
      <c r="N16" s="84"/>
      <c r="O16" s="84"/>
      <c r="P16" s="23" t="s">
        <v>32</v>
      </c>
      <c r="Q16" s="23" t="s">
        <v>132</v>
      </c>
      <c r="R16" s="23">
        <v>100</v>
      </c>
      <c r="S16" s="23">
        <v>100</v>
      </c>
      <c r="T16" s="23">
        <v>100</v>
      </c>
      <c r="U16" s="109">
        <f>100</f>
        <v>100</v>
      </c>
    </row>
    <row r="17" spans="1:22" ht="75" customHeight="1" x14ac:dyDescent="0.2">
      <c r="A17" s="21"/>
      <c r="B17" s="108" t="s">
        <v>35</v>
      </c>
      <c r="C17" s="98" t="s">
        <v>35</v>
      </c>
      <c r="D17" s="98"/>
      <c r="E17" s="98"/>
      <c r="F17" s="98"/>
      <c r="G17" s="98"/>
      <c r="H17" s="98"/>
      <c r="I17" s="98" t="s">
        <v>338</v>
      </c>
      <c r="J17" s="98"/>
      <c r="K17" s="98"/>
      <c r="L17" s="98" t="s">
        <v>339</v>
      </c>
      <c r="M17" s="98"/>
      <c r="N17" s="98"/>
      <c r="O17" s="98"/>
      <c r="P17" s="25" t="s">
        <v>32</v>
      </c>
      <c r="Q17" s="25" t="s">
        <v>38</v>
      </c>
      <c r="R17" s="25">
        <v>100</v>
      </c>
      <c r="S17" s="25">
        <v>100</v>
      </c>
      <c r="T17" s="25">
        <v>100</v>
      </c>
      <c r="U17" s="106">
        <f>100</f>
        <v>100</v>
      </c>
    </row>
    <row r="18" spans="1:22" ht="75" customHeight="1" x14ac:dyDescent="0.2">
      <c r="A18" s="21"/>
      <c r="B18" s="108" t="s">
        <v>35</v>
      </c>
      <c r="C18" s="98" t="s">
        <v>35</v>
      </c>
      <c r="D18" s="98"/>
      <c r="E18" s="98"/>
      <c r="F18" s="98"/>
      <c r="G18" s="98"/>
      <c r="H18" s="98"/>
      <c r="I18" s="98" t="s">
        <v>340</v>
      </c>
      <c r="J18" s="98"/>
      <c r="K18" s="98"/>
      <c r="L18" s="98" t="s">
        <v>341</v>
      </c>
      <c r="M18" s="98"/>
      <c r="N18" s="98"/>
      <c r="O18" s="98"/>
      <c r="P18" s="25" t="s">
        <v>32</v>
      </c>
      <c r="Q18" s="25" t="s">
        <v>38</v>
      </c>
      <c r="R18" s="25" t="s">
        <v>164</v>
      </c>
      <c r="S18" s="25">
        <v>25</v>
      </c>
      <c r="T18" s="25">
        <v>17</v>
      </c>
      <c r="U18" s="106">
        <f>68</f>
        <v>68</v>
      </c>
    </row>
    <row r="19" spans="1:22" ht="75" customHeight="1" thickBot="1" x14ac:dyDescent="0.25">
      <c r="A19" s="21"/>
      <c r="B19" s="108" t="s">
        <v>35</v>
      </c>
      <c r="C19" s="98" t="s">
        <v>35</v>
      </c>
      <c r="D19" s="98"/>
      <c r="E19" s="98"/>
      <c r="F19" s="98"/>
      <c r="G19" s="98"/>
      <c r="H19" s="98"/>
      <c r="I19" s="98" t="s">
        <v>342</v>
      </c>
      <c r="J19" s="98"/>
      <c r="K19" s="98"/>
      <c r="L19" s="98" t="s">
        <v>337</v>
      </c>
      <c r="M19" s="98"/>
      <c r="N19" s="98"/>
      <c r="O19" s="98"/>
      <c r="P19" s="25" t="s">
        <v>32</v>
      </c>
      <c r="Q19" s="25" t="s">
        <v>132</v>
      </c>
      <c r="R19" s="25">
        <v>100</v>
      </c>
      <c r="S19" s="25">
        <v>100</v>
      </c>
      <c r="T19" s="25">
        <v>57.4</v>
      </c>
      <c r="U19" s="106">
        <f>57.4</f>
        <v>57.4</v>
      </c>
    </row>
    <row r="20" spans="1:22" ht="14.25" customHeight="1" thickTop="1" thickBot="1" x14ac:dyDescent="0.25">
      <c r="B20" s="4" t="s">
        <v>39</v>
      </c>
      <c r="C20" s="5"/>
      <c r="D20" s="5"/>
      <c r="E20" s="5"/>
      <c r="F20" s="5"/>
      <c r="G20" s="5"/>
      <c r="H20" s="6"/>
      <c r="I20" s="6"/>
      <c r="J20" s="6"/>
      <c r="K20" s="6"/>
      <c r="L20" s="6"/>
      <c r="M20" s="6"/>
      <c r="N20" s="6"/>
      <c r="O20" s="6"/>
      <c r="P20" s="6"/>
      <c r="Q20" s="6"/>
      <c r="R20" s="6"/>
      <c r="S20" s="6"/>
      <c r="T20" s="6"/>
      <c r="U20" s="7"/>
      <c r="V20" s="27"/>
    </row>
    <row r="21" spans="1:22" ht="26.25" customHeight="1" thickTop="1" x14ac:dyDescent="0.2">
      <c r="B21" s="28"/>
      <c r="C21" s="29"/>
      <c r="D21" s="29"/>
      <c r="E21" s="29"/>
      <c r="F21" s="29"/>
      <c r="G21" s="29"/>
      <c r="H21" s="30"/>
      <c r="I21" s="30"/>
      <c r="J21" s="30"/>
      <c r="K21" s="30"/>
      <c r="L21" s="30"/>
      <c r="M21" s="30"/>
      <c r="N21" s="30"/>
      <c r="O21" s="30"/>
      <c r="P21" s="30"/>
      <c r="Q21" s="30"/>
      <c r="R21" s="31"/>
      <c r="S21" s="49" t="s">
        <v>26</v>
      </c>
      <c r="T21" s="49" t="s">
        <v>40</v>
      </c>
      <c r="U21" s="18" t="s">
        <v>41</v>
      </c>
    </row>
    <row r="22" spans="1:22" ht="26.25" customHeight="1" thickBot="1" x14ac:dyDescent="0.25">
      <c r="B22" s="33"/>
      <c r="C22" s="34"/>
      <c r="D22" s="34"/>
      <c r="E22" s="34"/>
      <c r="F22" s="34"/>
      <c r="G22" s="34"/>
      <c r="H22" s="35"/>
      <c r="I22" s="35"/>
      <c r="J22" s="35"/>
      <c r="K22" s="35"/>
      <c r="L22" s="35"/>
      <c r="M22" s="35"/>
      <c r="N22" s="35"/>
      <c r="O22" s="35"/>
      <c r="P22" s="35"/>
      <c r="Q22" s="35"/>
      <c r="R22" s="35"/>
      <c r="S22" s="36" t="s">
        <v>42</v>
      </c>
      <c r="T22" s="37" t="s">
        <v>42</v>
      </c>
      <c r="U22" s="37" t="s">
        <v>43</v>
      </c>
    </row>
    <row r="23" spans="1:22" ht="13.5" customHeight="1" thickBot="1" x14ac:dyDescent="0.25">
      <c r="B23" s="91" t="s">
        <v>44</v>
      </c>
      <c r="C23" s="92"/>
      <c r="D23" s="92"/>
      <c r="E23" s="47"/>
      <c r="F23" s="47"/>
      <c r="G23" s="47"/>
      <c r="H23" s="39"/>
      <c r="I23" s="39"/>
      <c r="J23" s="39"/>
      <c r="K23" s="39"/>
      <c r="L23" s="39"/>
      <c r="M23" s="39"/>
      <c r="N23" s="39"/>
      <c r="O23" s="39"/>
      <c r="P23" s="40"/>
      <c r="Q23" s="40"/>
      <c r="R23" s="40"/>
      <c r="S23" s="105">
        <f>7495.946861</f>
        <v>7495.9468610000004</v>
      </c>
      <c r="T23" s="105">
        <f>7436.18122</f>
        <v>7436.1812200000004</v>
      </c>
      <c r="U23" s="104">
        <f>+IF(ISERR(T23/S23*100),"N/A",ROUND(T23/S23*100,1))</f>
        <v>99.2</v>
      </c>
    </row>
    <row r="24" spans="1:22" ht="13.5" customHeight="1" thickBot="1" x14ac:dyDescent="0.25">
      <c r="B24" s="93" t="s">
        <v>45</v>
      </c>
      <c r="C24" s="94"/>
      <c r="D24" s="94"/>
      <c r="E24" s="48"/>
      <c r="F24" s="48"/>
      <c r="G24" s="48"/>
      <c r="H24" s="42"/>
      <c r="I24" s="42"/>
      <c r="J24" s="42"/>
      <c r="K24" s="42"/>
      <c r="L24" s="42"/>
      <c r="M24" s="42"/>
      <c r="N24" s="42"/>
      <c r="O24" s="42"/>
      <c r="P24" s="43"/>
      <c r="Q24" s="43"/>
      <c r="R24" s="43"/>
      <c r="S24" s="105">
        <f>7429.711791</f>
        <v>7429.7117909999997</v>
      </c>
      <c r="T24" s="105">
        <f>7436.18122</f>
        <v>7436.1812200000004</v>
      </c>
      <c r="U24" s="104">
        <f>+IF(ISERR(T24/S24*100),"N/A",ROUND(T24/S24*100,1))</f>
        <v>100.1</v>
      </c>
    </row>
    <row r="25" spans="1:22" ht="14.85" customHeight="1" thickTop="1" thickBot="1" x14ac:dyDescent="0.25">
      <c r="B25" s="4" t="s">
        <v>46</v>
      </c>
      <c r="C25" s="5"/>
      <c r="D25" s="5"/>
      <c r="E25" s="5"/>
      <c r="F25" s="5"/>
      <c r="G25" s="5"/>
      <c r="H25" s="6"/>
      <c r="I25" s="6"/>
      <c r="J25" s="6"/>
      <c r="K25" s="6"/>
      <c r="L25" s="6"/>
      <c r="M25" s="6"/>
      <c r="N25" s="6"/>
      <c r="O25" s="6"/>
      <c r="P25" s="6"/>
      <c r="Q25" s="6"/>
      <c r="R25" s="6"/>
      <c r="S25" s="6"/>
      <c r="T25" s="6"/>
      <c r="U25" s="7"/>
    </row>
    <row r="26" spans="1:22" ht="44.25" customHeight="1" thickTop="1" x14ac:dyDescent="0.2">
      <c r="B26" s="95" t="s">
        <v>47</v>
      </c>
      <c r="C26" s="96"/>
      <c r="D26" s="96"/>
      <c r="E26" s="96"/>
      <c r="F26" s="96"/>
      <c r="G26" s="96"/>
      <c r="H26" s="96"/>
      <c r="I26" s="96"/>
      <c r="J26" s="96"/>
      <c r="K26" s="96"/>
      <c r="L26" s="96"/>
      <c r="M26" s="96"/>
      <c r="N26" s="96"/>
      <c r="O26" s="96"/>
      <c r="P26" s="96"/>
      <c r="Q26" s="96"/>
      <c r="R26" s="96"/>
      <c r="S26" s="96"/>
      <c r="T26" s="96"/>
      <c r="U26" s="97"/>
    </row>
    <row r="27" spans="1:22" ht="115.5" customHeight="1" x14ac:dyDescent="0.2">
      <c r="B27" s="103" t="s">
        <v>343</v>
      </c>
      <c r="C27" s="86"/>
      <c r="D27" s="86"/>
      <c r="E27" s="86"/>
      <c r="F27" s="86"/>
      <c r="G27" s="86"/>
      <c r="H27" s="86"/>
      <c r="I27" s="86"/>
      <c r="J27" s="86"/>
      <c r="K27" s="86"/>
      <c r="L27" s="86"/>
      <c r="M27" s="86"/>
      <c r="N27" s="86"/>
      <c r="O27" s="86"/>
      <c r="P27" s="86"/>
      <c r="Q27" s="86"/>
      <c r="R27" s="86"/>
      <c r="S27" s="86"/>
      <c r="T27" s="86"/>
      <c r="U27" s="102"/>
    </row>
    <row r="28" spans="1:22" ht="121.35" customHeight="1" x14ac:dyDescent="0.2">
      <c r="B28" s="103" t="s">
        <v>344</v>
      </c>
      <c r="C28" s="86"/>
      <c r="D28" s="86"/>
      <c r="E28" s="86"/>
      <c r="F28" s="86"/>
      <c r="G28" s="86"/>
      <c r="H28" s="86"/>
      <c r="I28" s="86"/>
      <c r="J28" s="86"/>
      <c r="K28" s="86"/>
      <c r="L28" s="86"/>
      <c r="M28" s="86"/>
      <c r="N28" s="86"/>
      <c r="O28" s="86"/>
      <c r="P28" s="86"/>
      <c r="Q28" s="86"/>
      <c r="R28" s="86"/>
      <c r="S28" s="86"/>
      <c r="T28" s="86"/>
      <c r="U28" s="102"/>
    </row>
    <row r="29" spans="1:22" ht="28.5" customHeight="1" x14ac:dyDescent="0.2">
      <c r="B29" s="103" t="s">
        <v>345</v>
      </c>
      <c r="C29" s="86"/>
      <c r="D29" s="86"/>
      <c r="E29" s="86"/>
      <c r="F29" s="86"/>
      <c r="G29" s="86"/>
      <c r="H29" s="86"/>
      <c r="I29" s="86"/>
      <c r="J29" s="86"/>
      <c r="K29" s="86"/>
      <c r="L29" s="86"/>
      <c r="M29" s="86"/>
      <c r="N29" s="86"/>
      <c r="O29" s="86"/>
      <c r="P29" s="86"/>
      <c r="Q29" s="86"/>
      <c r="R29" s="86"/>
      <c r="S29" s="86"/>
      <c r="T29" s="86"/>
      <c r="U29" s="102"/>
    </row>
    <row r="30" spans="1:22" ht="38.85" customHeight="1" x14ac:dyDescent="0.2">
      <c r="B30" s="103" t="s">
        <v>346</v>
      </c>
      <c r="C30" s="86"/>
      <c r="D30" s="86"/>
      <c r="E30" s="86"/>
      <c r="F30" s="86"/>
      <c r="G30" s="86"/>
      <c r="H30" s="86"/>
      <c r="I30" s="86"/>
      <c r="J30" s="86"/>
      <c r="K30" s="86"/>
      <c r="L30" s="86"/>
      <c r="M30" s="86"/>
      <c r="N30" s="86"/>
      <c r="O30" s="86"/>
      <c r="P30" s="86"/>
      <c r="Q30" s="86"/>
      <c r="R30" s="86"/>
      <c r="S30" s="86"/>
      <c r="T30" s="86"/>
      <c r="U30" s="102"/>
    </row>
    <row r="31" spans="1:22" ht="139.5" customHeight="1" x14ac:dyDescent="0.2">
      <c r="B31" s="103" t="s">
        <v>347</v>
      </c>
      <c r="C31" s="86"/>
      <c r="D31" s="86"/>
      <c r="E31" s="86"/>
      <c r="F31" s="86"/>
      <c r="G31" s="86"/>
      <c r="H31" s="86"/>
      <c r="I31" s="86"/>
      <c r="J31" s="86"/>
      <c r="K31" s="86"/>
      <c r="L31" s="86"/>
      <c r="M31" s="86"/>
      <c r="N31" s="86"/>
      <c r="O31" s="86"/>
      <c r="P31" s="86"/>
      <c r="Q31" s="86"/>
      <c r="R31" s="86"/>
      <c r="S31" s="86"/>
      <c r="T31" s="86"/>
      <c r="U31" s="102"/>
    </row>
    <row r="32" spans="1:22" ht="46.5" customHeight="1" x14ac:dyDescent="0.2">
      <c r="B32" s="103" t="s">
        <v>348</v>
      </c>
      <c r="C32" s="86"/>
      <c r="D32" s="86"/>
      <c r="E32" s="86"/>
      <c r="F32" s="86"/>
      <c r="G32" s="86"/>
      <c r="H32" s="86"/>
      <c r="I32" s="86"/>
      <c r="J32" s="86"/>
      <c r="K32" s="86"/>
      <c r="L32" s="86"/>
      <c r="M32" s="86"/>
      <c r="N32" s="86"/>
      <c r="O32" s="86"/>
      <c r="P32" s="86"/>
      <c r="Q32" s="86"/>
      <c r="R32" s="86"/>
      <c r="S32" s="86"/>
      <c r="T32" s="86"/>
      <c r="U32" s="102"/>
    </row>
    <row r="33" spans="2:21" ht="129.94999999999999" customHeight="1" x14ac:dyDescent="0.2">
      <c r="B33" s="103" t="s">
        <v>349</v>
      </c>
      <c r="C33" s="86"/>
      <c r="D33" s="86"/>
      <c r="E33" s="86"/>
      <c r="F33" s="86"/>
      <c r="G33" s="86"/>
      <c r="H33" s="86"/>
      <c r="I33" s="86"/>
      <c r="J33" s="86"/>
      <c r="K33" s="86"/>
      <c r="L33" s="86"/>
      <c r="M33" s="86"/>
      <c r="N33" s="86"/>
      <c r="O33" s="86"/>
      <c r="P33" s="86"/>
      <c r="Q33" s="86"/>
      <c r="R33" s="86"/>
      <c r="S33" s="86"/>
      <c r="T33" s="86"/>
      <c r="U33" s="102"/>
    </row>
    <row r="34" spans="2:21" ht="34.5" customHeight="1" x14ac:dyDescent="0.2">
      <c r="B34" s="103" t="s">
        <v>350</v>
      </c>
      <c r="C34" s="86"/>
      <c r="D34" s="86"/>
      <c r="E34" s="86"/>
      <c r="F34" s="86"/>
      <c r="G34" s="86"/>
      <c r="H34" s="86"/>
      <c r="I34" s="86"/>
      <c r="J34" s="86"/>
      <c r="K34" s="86"/>
      <c r="L34" s="86"/>
      <c r="M34" s="86"/>
      <c r="N34" s="86"/>
      <c r="O34" s="86"/>
      <c r="P34" s="86"/>
      <c r="Q34" s="86"/>
      <c r="R34" s="86"/>
      <c r="S34" s="86"/>
      <c r="T34" s="86"/>
      <c r="U34" s="102"/>
    </row>
    <row r="35" spans="2:21" ht="30.2" customHeight="1" thickBot="1" x14ac:dyDescent="0.25">
      <c r="B35" s="101" t="s">
        <v>351</v>
      </c>
      <c r="C35" s="100"/>
      <c r="D35" s="100"/>
      <c r="E35" s="100"/>
      <c r="F35" s="100"/>
      <c r="G35" s="100"/>
      <c r="H35" s="100"/>
      <c r="I35" s="100"/>
      <c r="J35" s="100"/>
      <c r="K35" s="100"/>
      <c r="L35" s="100"/>
      <c r="M35" s="100"/>
      <c r="N35" s="100"/>
      <c r="O35" s="100"/>
      <c r="P35" s="100"/>
      <c r="Q35" s="100"/>
      <c r="R35" s="100"/>
      <c r="S35" s="100"/>
      <c r="T35" s="100"/>
      <c r="U35" s="99"/>
    </row>
  </sheetData>
  <mergeCells count="60">
    <mergeCell ref="B30:U30"/>
    <mergeCell ref="B31:U31"/>
    <mergeCell ref="B32:U32"/>
    <mergeCell ref="B33:U33"/>
    <mergeCell ref="B34:U34"/>
    <mergeCell ref="B35:U35"/>
    <mergeCell ref="B23:D23"/>
    <mergeCell ref="B24:D24"/>
    <mergeCell ref="B26:U26"/>
    <mergeCell ref="B27:U27"/>
    <mergeCell ref="B28:U28"/>
    <mergeCell ref="B29:U29"/>
    <mergeCell ref="C18:H18"/>
    <mergeCell ref="I18:K18"/>
    <mergeCell ref="L18:O18"/>
    <mergeCell ref="C19:H19"/>
    <mergeCell ref="I19:K19"/>
    <mergeCell ref="L19:O19"/>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P9:P10"/>
    <mergeCell ref="Q9:Q10"/>
    <mergeCell ref="R9:S9"/>
    <mergeCell ref="T9:T10"/>
    <mergeCell ref="U9:U10"/>
    <mergeCell ref="C11:H11"/>
    <mergeCell ref="I11:K11"/>
    <mergeCell ref="L11:O11"/>
    <mergeCell ref="C6:G6"/>
    <mergeCell ref="K6:M6"/>
    <mergeCell ref="P6:Q6"/>
    <mergeCell ref="T6:U6"/>
    <mergeCell ref="B8:B10"/>
    <mergeCell ref="C8:H10"/>
    <mergeCell ref="I8:S8"/>
    <mergeCell ref="T8:U8"/>
    <mergeCell ref="I9:K10"/>
    <mergeCell ref="L9:O10"/>
    <mergeCell ref="B1:L1"/>
    <mergeCell ref="D4:H4"/>
    <mergeCell ref="L4:O4"/>
    <mergeCell ref="Q4:R4"/>
    <mergeCell ref="T4:U4"/>
    <mergeCell ref="B5:U5"/>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9"/>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1" t="s">
        <v>0</v>
      </c>
      <c r="C1" s="51"/>
      <c r="D1" s="51"/>
      <c r="E1" s="51"/>
      <c r="F1" s="51"/>
      <c r="G1" s="51"/>
      <c r="H1" s="51"/>
      <c r="I1" s="51"/>
      <c r="J1" s="51"/>
      <c r="K1" s="51"/>
      <c r="L1" s="51"/>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51.75" customHeight="1" thickTop="1" x14ac:dyDescent="0.2">
      <c r="B4" s="8" t="s">
        <v>5</v>
      </c>
      <c r="C4" s="9" t="s">
        <v>379</v>
      </c>
      <c r="D4" s="58" t="s">
        <v>378</v>
      </c>
      <c r="E4" s="58"/>
      <c r="F4" s="58"/>
      <c r="G4" s="58"/>
      <c r="H4" s="58"/>
      <c r="I4" s="10"/>
      <c r="J4" s="11" t="s">
        <v>6</v>
      </c>
      <c r="K4" s="12" t="s">
        <v>7</v>
      </c>
      <c r="L4" s="59" t="s">
        <v>2</v>
      </c>
      <c r="M4" s="59"/>
      <c r="N4" s="59"/>
      <c r="O4" s="59"/>
      <c r="P4" s="11" t="s">
        <v>8</v>
      </c>
      <c r="Q4" s="59" t="s">
        <v>50</v>
      </c>
      <c r="R4" s="59"/>
      <c r="S4" s="11" t="s">
        <v>9</v>
      </c>
      <c r="T4" s="59" t="s">
        <v>211</v>
      </c>
      <c r="U4" s="60"/>
    </row>
    <row r="5" spans="1:21" ht="15.75" customHeight="1" x14ac:dyDescent="0.2">
      <c r="B5" s="55" t="s">
        <v>10</v>
      </c>
      <c r="C5" s="56"/>
      <c r="D5" s="56"/>
      <c r="E5" s="56"/>
      <c r="F5" s="56"/>
      <c r="G5" s="56"/>
      <c r="H5" s="56"/>
      <c r="I5" s="56"/>
      <c r="J5" s="56"/>
      <c r="K5" s="56"/>
      <c r="L5" s="56"/>
      <c r="M5" s="56"/>
      <c r="N5" s="56"/>
      <c r="O5" s="56"/>
      <c r="P5" s="56"/>
      <c r="Q5" s="56"/>
      <c r="R5" s="56"/>
      <c r="S5" s="56"/>
      <c r="T5" s="56"/>
      <c r="U5" s="57"/>
    </row>
    <row r="6" spans="1:21"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119</v>
      </c>
      <c r="U6" s="62"/>
    </row>
    <row r="7" spans="1:21" ht="14.25" customHeight="1" thickTop="1" thickBot="1" x14ac:dyDescent="0.25">
      <c r="B7" s="4" t="s">
        <v>17</v>
      </c>
      <c r="C7" s="5"/>
      <c r="D7" s="5"/>
      <c r="E7" s="5"/>
      <c r="F7" s="5"/>
      <c r="G7" s="5"/>
      <c r="H7" s="6"/>
      <c r="I7" s="6"/>
      <c r="J7" s="6"/>
      <c r="K7" s="6"/>
      <c r="L7" s="6"/>
      <c r="M7" s="6"/>
      <c r="N7" s="6"/>
      <c r="O7" s="6"/>
      <c r="P7" s="6"/>
      <c r="Q7" s="6"/>
      <c r="R7" s="6"/>
      <c r="S7" s="6"/>
      <c r="T7" s="6"/>
      <c r="U7" s="7"/>
    </row>
    <row r="8" spans="1:21"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1"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1"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1" ht="75" customHeight="1" thickTop="1" thickBot="1" x14ac:dyDescent="0.25">
      <c r="A11" s="21"/>
      <c r="B11" s="110" t="s">
        <v>31</v>
      </c>
      <c r="C11" s="84" t="s">
        <v>377</v>
      </c>
      <c r="D11" s="84"/>
      <c r="E11" s="84"/>
      <c r="F11" s="84"/>
      <c r="G11" s="84"/>
      <c r="H11" s="84"/>
      <c r="I11" s="84" t="s">
        <v>376</v>
      </c>
      <c r="J11" s="84"/>
      <c r="K11" s="84"/>
      <c r="L11" s="84" t="s">
        <v>375</v>
      </c>
      <c r="M11" s="84"/>
      <c r="N11" s="84"/>
      <c r="O11" s="84"/>
      <c r="P11" s="23" t="s">
        <v>32</v>
      </c>
      <c r="Q11" s="23" t="s">
        <v>33</v>
      </c>
      <c r="R11" s="23" t="s">
        <v>164</v>
      </c>
      <c r="S11" s="23">
        <v>98.19</v>
      </c>
      <c r="T11" s="23">
        <v>98.23</v>
      </c>
      <c r="U11" s="109">
        <f>100.04</f>
        <v>100.04</v>
      </c>
    </row>
    <row r="12" spans="1:21" ht="75" customHeight="1" thickTop="1" thickBot="1" x14ac:dyDescent="0.25">
      <c r="A12" s="21"/>
      <c r="B12" s="110" t="s">
        <v>34</v>
      </c>
      <c r="C12" s="84" t="s">
        <v>374</v>
      </c>
      <c r="D12" s="84"/>
      <c r="E12" s="84"/>
      <c r="F12" s="84"/>
      <c r="G12" s="84"/>
      <c r="H12" s="84"/>
      <c r="I12" s="84" t="s">
        <v>373</v>
      </c>
      <c r="J12" s="84"/>
      <c r="K12" s="84"/>
      <c r="L12" s="84" t="s">
        <v>372</v>
      </c>
      <c r="M12" s="84"/>
      <c r="N12" s="84"/>
      <c r="O12" s="84"/>
      <c r="P12" s="23" t="s">
        <v>371</v>
      </c>
      <c r="Q12" s="23" t="s">
        <v>364</v>
      </c>
      <c r="R12" s="23" t="s">
        <v>164</v>
      </c>
      <c r="S12" s="23">
        <v>45000</v>
      </c>
      <c r="T12" s="23">
        <v>39249</v>
      </c>
      <c r="U12" s="109">
        <f>87.22</f>
        <v>87.22</v>
      </c>
    </row>
    <row r="13" spans="1:21" ht="75" customHeight="1" thickTop="1" x14ac:dyDescent="0.2">
      <c r="A13" s="21"/>
      <c r="B13" s="110" t="s">
        <v>36</v>
      </c>
      <c r="C13" s="84" t="s">
        <v>370</v>
      </c>
      <c r="D13" s="84"/>
      <c r="E13" s="84"/>
      <c r="F13" s="84"/>
      <c r="G13" s="84"/>
      <c r="H13" s="84"/>
      <c r="I13" s="84" t="s">
        <v>369</v>
      </c>
      <c r="J13" s="84"/>
      <c r="K13" s="84"/>
      <c r="L13" s="84" t="s">
        <v>368</v>
      </c>
      <c r="M13" s="84"/>
      <c r="N13" s="84"/>
      <c r="O13" s="84"/>
      <c r="P13" s="23" t="s">
        <v>367</v>
      </c>
      <c r="Q13" s="23" t="s">
        <v>364</v>
      </c>
      <c r="R13" s="23" t="s">
        <v>164</v>
      </c>
      <c r="S13" s="23">
        <v>750</v>
      </c>
      <c r="T13" s="23">
        <v>879.8</v>
      </c>
      <c r="U13" s="109">
        <f>117.3</f>
        <v>117.3</v>
      </c>
    </row>
    <row r="14" spans="1:21" ht="75" customHeight="1" thickBot="1" x14ac:dyDescent="0.25">
      <c r="A14" s="21"/>
      <c r="B14" s="108" t="s">
        <v>35</v>
      </c>
      <c r="C14" s="98" t="s">
        <v>35</v>
      </c>
      <c r="D14" s="98"/>
      <c r="E14" s="98"/>
      <c r="F14" s="98"/>
      <c r="G14" s="98"/>
      <c r="H14" s="98"/>
      <c r="I14" s="98" t="s">
        <v>366</v>
      </c>
      <c r="J14" s="98"/>
      <c r="K14" s="98"/>
      <c r="L14" s="98" t="s">
        <v>365</v>
      </c>
      <c r="M14" s="98"/>
      <c r="N14" s="98"/>
      <c r="O14" s="98"/>
      <c r="P14" s="25" t="s">
        <v>135</v>
      </c>
      <c r="Q14" s="25" t="s">
        <v>364</v>
      </c>
      <c r="R14" s="25" t="s">
        <v>164</v>
      </c>
      <c r="S14" s="25">
        <v>100</v>
      </c>
      <c r="T14" s="25">
        <v>56.7</v>
      </c>
      <c r="U14" s="106">
        <f>56.7</f>
        <v>56.7</v>
      </c>
    </row>
    <row r="15" spans="1:21" ht="75" customHeight="1" thickTop="1" x14ac:dyDescent="0.2">
      <c r="A15" s="21"/>
      <c r="B15" s="110" t="s">
        <v>37</v>
      </c>
      <c r="C15" s="84" t="s">
        <v>363</v>
      </c>
      <c r="D15" s="84"/>
      <c r="E15" s="84"/>
      <c r="F15" s="84"/>
      <c r="G15" s="84"/>
      <c r="H15" s="84"/>
      <c r="I15" s="84" t="s">
        <v>362</v>
      </c>
      <c r="J15" s="84"/>
      <c r="K15" s="84"/>
      <c r="L15" s="84" t="s">
        <v>361</v>
      </c>
      <c r="M15" s="84"/>
      <c r="N15" s="84"/>
      <c r="O15" s="84"/>
      <c r="P15" s="23" t="s">
        <v>358</v>
      </c>
      <c r="Q15" s="23" t="s">
        <v>38</v>
      </c>
      <c r="R15" s="23" t="s">
        <v>164</v>
      </c>
      <c r="S15" s="23">
        <v>500</v>
      </c>
      <c r="T15" s="23">
        <v>886</v>
      </c>
      <c r="U15" s="109">
        <f>177.2</f>
        <v>177.2</v>
      </c>
    </row>
    <row r="16" spans="1:21" ht="75" customHeight="1" thickBot="1" x14ac:dyDescent="0.25">
      <c r="A16" s="21"/>
      <c r="B16" s="108" t="s">
        <v>35</v>
      </c>
      <c r="C16" s="98" t="s">
        <v>35</v>
      </c>
      <c r="D16" s="98"/>
      <c r="E16" s="98"/>
      <c r="F16" s="98"/>
      <c r="G16" s="98"/>
      <c r="H16" s="98"/>
      <c r="I16" s="98" t="s">
        <v>360</v>
      </c>
      <c r="J16" s="98"/>
      <c r="K16" s="98"/>
      <c r="L16" s="98" t="s">
        <v>359</v>
      </c>
      <c r="M16" s="98"/>
      <c r="N16" s="98"/>
      <c r="O16" s="98"/>
      <c r="P16" s="25" t="s">
        <v>358</v>
      </c>
      <c r="Q16" s="25" t="s">
        <v>38</v>
      </c>
      <c r="R16" s="25" t="s">
        <v>164</v>
      </c>
      <c r="S16" s="25">
        <v>300</v>
      </c>
      <c r="T16" s="25">
        <v>446</v>
      </c>
      <c r="U16" s="106">
        <f>148.66</f>
        <v>148.66</v>
      </c>
    </row>
    <row r="17" spans="2:22" ht="14.25" customHeight="1" thickTop="1" thickBot="1" x14ac:dyDescent="0.25">
      <c r="B17" s="4" t="s">
        <v>39</v>
      </c>
      <c r="C17" s="5"/>
      <c r="D17" s="5"/>
      <c r="E17" s="5"/>
      <c r="F17" s="5"/>
      <c r="G17" s="5"/>
      <c r="H17" s="6"/>
      <c r="I17" s="6"/>
      <c r="J17" s="6"/>
      <c r="K17" s="6"/>
      <c r="L17" s="6"/>
      <c r="M17" s="6"/>
      <c r="N17" s="6"/>
      <c r="O17" s="6"/>
      <c r="P17" s="6"/>
      <c r="Q17" s="6"/>
      <c r="R17" s="6"/>
      <c r="S17" s="6"/>
      <c r="T17" s="6"/>
      <c r="U17" s="7"/>
      <c r="V17" s="27"/>
    </row>
    <row r="18" spans="2:22" ht="26.25" customHeight="1" thickTop="1" x14ac:dyDescent="0.2">
      <c r="B18" s="28"/>
      <c r="C18" s="29"/>
      <c r="D18" s="29"/>
      <c r="E18" s="29"/>
      <c r="F18" s="29"/>
      <c r="G18" s="29"/>
      <c r="H18" s="30"/>
      <c r="I18" s="30"/>
      <c r="J18" s="30"/>
      <c r="K18" s="30"/>
      <c r="L18" s="30"/>
      <c r="M18" s="30"/>
      <c r="N18" s="30"/>
      <c r="O18" s="30"/>
      <c r="P18" s="30"/>
      <c r="Q18" s="30"/>
      <c r="R18" s="31"/>
      <c r="S18" s="49" t="s">
        <v>26</v>
      </c>
      <c r="T18" s="49" t="s">
        <v>40</v>
      </c>
      <c r="U18" s="18" t="s">
        <v>41</v>
      </c>
    </row>
    <row r="19" spans="2:22" ht="26.25" customHeight="1" thickBot="1" x14ac:dyDescent="0.25">
      <c r="B19" s="33"/>
      <c r="C19" s="34"/>
      <c r="D19" s="34"/>
      <c r="E19" s="34"/>
      <c r="F19" s="34"/>
      <c r="G19" s="34"/>
      <c r="H19" s="35"/>
      <c r="I19" s="35"/>
      <c r="J19" s="35"/>
      <c r="K19" s="35"/>
      <c r="L19" s="35"/>
      <c r="M19" s="35"/>
      <c r="N19" s="35"/>
      <c r="O19" s="35"/>
      <c r="P19" s="35"/>
      <c r="Q19" s="35"/>
      <c r="R19" s="35"/>
      <c r="S19" s="36" t="s">
        <v>42</v>
      </c>
      <c r="T19" s="37" t="s">
        <v>42</v>
      </c>
      <c r="U19" s="37" t="s">
        <v>43</v>
      </c>
    </row>
    <row r="20" spans="2:22" ht="13.5" customHeight="1" thickBot="1" x14ac:dyDescent="0.25">
      <c r="B20" s="91" t="s">
        <v>44</v>
      </c>
      <c r="C20" s="92"/>
      <c r="D20" s="92"/>
      <c r="E20" s="47"/>
      <c r="F20" s="47"/>
      <c r="G20" s="47"/>
      <c r="H20" s="39"/>
      <c r="I20" s="39"/>
      <c r="J20" s="39"/>
      <c r="K20" s="39"/>
      <c r="L20" s="39"/>
      <c r="M20" s="39"/>
      <c r="N20" s="39"/>
      <c r="O20" s="39"/>
      <c r="P20" s="40"/>
      <c r="Q20" s="40"/>
      <c r="R20" s="40"/>
      <c r="S20" s="105">
        <f>350</f>
        <v>350</v>
      </c>
      <c r="T20" s="105">
        <f>589.235538</f>
        <v>589.23553800000002</v>
      </c>
      <c r="U20" s="104">
        <f>+IF(ISERR(T20/S20*100),"N/A",ROUND(T20/S20*100,1))</f>
        <v>168.4</v>
      </c>
    </row>
    <row r="21" spans="2:22" ht="13.5" customHeight="1" thickBot="1" x14ac:dyDescent="0.25">
      <c r="B21" s="93" t="s">
        <v>45</v>
      </c>
      <c r="C21" s="94"/>
      <c r="D21" s="94"/>
      <c r="E21" s="48"/>
      <c r="F21" s="48"/>
      <c r="G21" s="48"/>
      <c r="H21" s="42"/>
      <c r="I21" s="42"/>
      <c r="J21" s="42"/>
      <c r="K21" s="42"/>
      <c r="L21" s="42"/>
      <c r="M21" s="42"/>
      <c r="N21" s="42"/>
      <c r="O21" s="42"/>
      <c r="P21" s="43"/>
      <c r="Q21" s="43"/>
      <c r="R21" s="43"/>
      <c r="S21" s="105">
        <f>589.235538</f>
        <v>589.23553800000002</v>
      </c>
      <c r="T21" s="105">
        <f>589.235538</f>
        <v>589.23553800000002</v>
      </c>
      <c r="U21" s="104">
        <f>+IF(ISERR(T21/S21*100),"N/A",ROUND(T21/S21*100,1))</f>
        <v>100</v>
      </c>
    </row>
    <row r="22" spans="2:22" ht="14.85" customHeight="1" thickTop="1" thickBot="1" x14ac:dyDescent="0.25">
      <c r="B22" s="4" t="s">
        <v>46</v>
      </c>
      <c r="C22" s="5"/>
      <c r="D22" s="5"/>
      <c r="E22" s="5"/>
      <c r="F22" s="5"/>
      <c r="G22" s="5"/>
      <c r="H22" s="6"/>
      <c r="I22" s="6"/>
      <c r="J22" s="6"/>
      <c r="K22" s="6"/>
      <c r="L22" s="6"/>
      <c r="M22" s="6"/>
      <c r="N22" s="6"/>
      <c r="O22" s="6"/>
      <c r="P22" s="6"/>
      <c r="Q22" s="6"/>
      <c r="R22" s="6"/>
      <c r="S22" s="6"/>
      <c r="T22" s="6"/>
      <c r="U22" s="7"/>
    </row>
    <row r="23" spans="2:22" ht="44.25" customHeight="1" thickTop="1" x14ac:dyDescent="0.2">
      <c r="B23" s="95" t="s">
        <v>47</v>
      </c>
      <c r="C23" s="96"/>
      <c r="D23" s="96"/>
      <c r="E23" s="96"/>
      <c r="F23" s="96"/>
      <c r="G23" s="96"/>
      <c r="H23" s="96"/>
      <c r="I23" s="96"/>
      <c r="J23" s="96"/>
      <c r="K23" s="96"/>
      <c r="L23" s="96"/>
      <c r="M23" s="96"/>
      <c r="N23" s="96"/>
      <c r="O23" s="96"/>
      <c r="P23" s="96"/>
      <c r="Q23" s="96"/>
      <c r="R23" s="96"/>
      <c r="S23" s="96"/>
      <c r="T23" s="96"/>
      <c r="U23" s="97"/>
    </row>
    <row r="24" spans="2:22" ht="27.95" customHeight="1" x14ac:dyDescent="0.2">
      <c r="B24" s="103" t="s">
        <v>357</v>
      </c>
      <c r="C24" s="86"/>
      <c r="D24" s="86"/>
      <c r="E24" s="86"/>
      <c r="F24" s="86"/>
      <c r="G24" s="86"/>
      <c r="H24" s="86"/>
      <c r="I24" s="86"/>
      <c r="J24" s="86"/>
      <c r="K24" s="86"/>
      <c r="L24" s="86"/>
      <c r="M24" s="86"/>
      <c r="N24" s="86"/>
      <c r="O24" s="86"/>
      <c r="P24" s="86"/>
      <c r="Q24" s="86"/>
      <c r="R24" s="86"/>
      <c r="S24" s="86"/>
      <c r="T24" s="86"/>
      <c r="U24" s="102"/>
    </row>
    <row r="25" spans="2:22" ht="36.6" customHeight="1" x14ac:dyDescent="0.2">
      <c r="B25" s="103" t="s">
        <v>356</v>
      </c>
      <c r="C25" s="86"/>
      <c r="D25" s="86"/>
      <c r="E25" s="86"/>
      <c r="F25" s="86"/>
      <c r="G25" s="86"/>
      <c r="H25" s="86"/>
      <c r="I25" s="86"/>
      <c r="J25" s="86"/>
      <c r="K25" s="86"/>
      <c r="L25" s="86"/>
      <c r="M25" s="86"/>
      <c r="N25" s="86"/>
      <c r="O25" s="86"/>
      <c r="P25" s="86"/>
      <c r="Q25" s="86"/>
      <c r="R25" s="86"/>
      <c r="S25" s="86"/>
      <c r="T25" s="86"/>
      <c r="U25" s="102"/>
    </row>
    <row r="26" spans="2:22" ht="21.2" customHeight="1" x14ac:dyDescent="0.2">
      <c r="B26" s="103" t="s">
        <v>355</v>
      </c>
      <c r="C26" s="86"/>
      <c r="D26" s="86"/>
      <c r="E26" s="86"/>
      <c r="F26" s="86"/>
      <c r="G26" s="86"/>
      <c r="H26" s="86"/>
      <c r="I26" s="86"/>
      <c r="J26" s="86"/>
      <c r="K26" s="86"/>
      <c r="L26" s="86"/>
      <c r="M26" s="86"/>
      <c r="N26" s="86"/>
      <c r="O26" s="86"/>
      <c r="P26" s="86"/>
      <c r="Q26" s="86"/>
      <c r="R26" s="86"/>
      <c r="S26" s="86"/>
      <c r="T26" s="86"/>
      <c r="U26" s="102"/>
    </row>
    <row r="27" spans="2:22" ht="34.35" customHeight="1" x14ac:dyDescent="0.2">
      <c r="B27" s="103" t="s">
        <v>354</v>
      </c>
      <c r="C27" s="86"/>
      <c r="D27" s="86"/>
      <c r="E27" s="86"/>
      <c r="F27" s="86"/>
      <c r="G27" s="86"/>
      <c r="H27" s="86"/>
      <c r="I27" s="86"/>
      <c r="J27" s="86"/>
      <c r="K27" s="86"/>
      <c r="L27" s="86"/>
      <c r="M27" s="86"/>
      <c r="N27" s="86"/>
      <c r="O27" s="86"/>
      <c r="P27" s="86"/>
      <c r="Q27" s="86"/>
      <c r="R27" s="86"/>
      <c r="S27" s="86"/>
      <c r="T27" s="86"/>
      <c r="U27" s="102"/>
    </row>
    <row r="28" spans="2:22" ht="34.5" customHeight="1" x14ac:dyDescent="0.2">
      <c r="B28" s="103" t="s">
        <v>353</v>
      </c>
      <c r="C28" s="86"/>
      <c r="D28" s="86"/>
      <c r="E28" s="86"/>
      <c r="F28" s="86"/>
      <c r="G28" s="86"/>
      <c r="H28" s="86"/>
      <c r="I28" s="86"/>
      <c r="J28" s="86"/>
      <c r="K28" s="86"/>
      <c r="L28" s="86"/>
      <c r="M28" s="86"/>
      <c r="N28" s="86"/>
      <c r="O28" s="86"/>
      <c r="P28" s="86"/>
      <c r="Q28" s="86"/>
      <c r="R28" s="86"/>
      <c r="S28" s="86"/>
      <c r="T28" s="86"/>
      <c r="U28" s="102"/>
    </row>
    <row r="29" spans="2:22" ht="21" customHeight="1" thickBot="1" x14ac:dyDescent="0.25">
      <c r="B29" s="101" t="s">
        <v>352</v>
      </c>
      <c r="C29" s="100"/>
      <c r="D29" s="100"/>
      <c r="E29" s="100"/>
      <c r="F29" s="100"/>
      <c r="G29" s="100"/>
      <c r="H29" s="100"/>
      <c r="I29" s="100"/>
      <c r="J29" s="100"/>
      <c r="K29" s="100"/>
      <c r="L29" s="100"/>
      <c r="M29" s="100"/>
      <c r="N29" s="100"/>
      <c r="O29" s="100"/>
      <c r="P29" s="100"/>
      <c r="Q29" s="100"/>
      <c r="R29" s="100"/>
      <c r="S29" s="100"/>
      <c r="T29" s="100"/>
      <c r="U29" s="99"/>
    </row>
  </sheetData>
  <mergeCells count="48">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B20:D20"/>
    <mergeCell ref="B21:D21"/>
    <mergeCell ref="B23:U23"/>
    <mergeCell ref="B24:U24"/>
    <mergeCell ref="B25:U25"/>
    <mergeCell ref="B26:U26"/>
    <mergeCell ref="B27:U27"/>
    <mergeCell ref="B28:U28"/>
    <mergeCell ref="B29:U29"/>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396</v>
      </c>
      <c r="D4" s="58" t="s">
        <v>395</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119</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394</v>
      </c>
      <c r="D11" s="84"/>
      <c r="E11" s="84"/>
      <c r="F11" s="84"/>
      <c r="G11" s="84"/>
      <c r="H11" s="84"/>
      <c r="I11" s="84" t="s">
        <v>393</v>
      </c>
      <c r="J11" s="84"/>
      <c r="K11" s="84"/>
      <c r="L11" s="84" t="s">
        <v>392</v>
      </c>
      <c r="M11" s="84"/>
      <c r="N11" s="84"/>
      <c r="O11" s="84"/>
      <c r="P11" s="23" t="s">
        <v>32</v>
      </c>
      <c r="Q11" s="23" t="s">
        <v>56</v>
      </c>
      <c r="R11" s="23" t="s">
        <v>164</v>
      </c>
      <c r="S11" s="23">
        <v>84.37</v>
      </c>
      <c r="T11" s="23">
        <v>83.37</v>
      </c>
      <c r="U11" s="109">
        <f>98.82</f>
        <v>98.82</v>
      </c>
    </row>
    <row r="12" spans="1:22" ht="75" customHeight="1" thickTop="1" thickBot="1" x14ac:dyDescent="0.25">
      <c r="A12" s="21"/>
      <c r="B12" s="110" t="s">
        <v>34</v>
      </c>
      <c r="C12" s="84" t="s">
        <v>391</v>
      </c>
      <c r="D12" s="84"/>
      <c r="E12" s="84"/>
      <c r="F12" s="84"/>
      <c r="G12" s="84"/>
      <c r="H12" s="84"/>
      <c r="I12" s="84" t="s">
        <v>390</v>
      </c>
      <c r="J12" s="84"/>
      <c r="K12" s="84"/>
      <c r="L12" s="84" t="s">
        <v>389</v>
      </c>
      <c r="M12" s="84"/>
      <c r="N12" s="84"/>
      <c r="O12" s="84"/>
      <c r="P12" s="23" t="s">
        <v>32</v>
      </c>
      <c r="Q12" s="23" t="s">
        <v>56</v>
      </c>
      <c r="R12" s="23" t="s">
        <v>164</v>
      </c>
      <c r="S12" s="23">
        <v>3.88</v>
      </c>
      <c r="T12" s="23">
        <v>4.4800000000000004</v>
      </c>
      <c r="U12" s="109">
        <f>84.5</f>
        <v>84.5</v>
      </c>
    </row>
    <row r="13" spans="1:22" ht="75" customHeight="1" thickTop="1" thickBot="1" x14ac:dyDescent="0.25">
      <c r="A13" s="21"/>
      <c r="B13" s="110" t="s">
        <v>36</v>
      </c>
      <c r="C13" s="84" t="s">
        <v>388</v>
      </c>
      <c r="D13" s="84"/>
      <c r="E13" s="84"/>
      <c r="F13" s="84"/>
      <c r="G13" s="84"/>
      <c r="H13" s="84"/>
      <c r="I13" s="84" t="s">
        <v>214</v>
      </c>
      <c r="J13" s="84"/>
      <c r="K13" s="84"/>
      <c r="L13" s="84" t="s">
        <v>387</v>
      </c>
      <c r="M13" s="84"/>
      <c r="N13" s="84"/>
      <c r="O13" s="84"/>
      <c r="P13" s="23" t="s">
        <v>32</v>
      </c>
      <c r="Q13" s="23" t="s">
        <v>219</v>
      </c>
      <c r="R13" s="23" t="s">
        <v>164</v>
      </c>
      <c r="S13" s="23">
        <v>11.75</v>
      </c>
      <c r="T13" s="23">
        <v>12.15</v>
      </c>
      <c r="U13" s="109">
        <f>96.62</f>
        <v>96.62</v>
      </c>
    </row>
    <row r="14" spans="1:22" ht="75" customHeight="1" thickTop="1" thickBot="1" x14ac:dyDescent="0.25">
      <c r="A14" s="21"/>
      <c r="B14" s="110" t="s">
        <v>37</v>
      </c>
      <c r="C14" s="84" t="s">
        <v>386</v>
      </c>
      <c r="D14" s="84"/>
      <c r="E14" s="84"/>
      <c r="F14" s="84"/>
      <c r="G14" s="84"/>
      <c r="H14" s="84"/>
      <c r="I14" s="84" t="s">
        <v>385</v>
      </c>
      <c r="J14" s="84"/>
      <c r="K14" s="84"/>
      <c r="L14" s="84" t="s">
        <v>384</v>
      </c>
      <c r="M14" s="84"/>
      <c r="N14" s="84"/>
      <c r="O14" s="84"/>
      <c r="P14" s="23" t="s">
        <v>32</v>
      </c>
      <c r="Q14" s="23" t="s">
        <v>129</v>
      </c>
      <c r="R14" s="23" t="s">
        <v>164</v>
      </c>
      <c r="S14" s="23">
        <v>100</v>
      </c>
      <c r="T14" s="23">
        <v>100</v>
      </c>
      <c r="U14" s="109">
        <f>100</f>
        <v>100</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4465.08923</f>
        <v>4465.0892299999996</v>
      </c>
      <c r="T18" s="105">
        <f>8098.235254</f>
        <v>8098.2352540000002</v>
      </c>
      <c r="U18" s="104">
        <f>+IF(ISERR(T18/S18*100),"N/A",ROUND(T18/S18*100,1))</f>
        <v>181.4</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8098.235254</f>
        <v>8098.2352540000002</v>
      </c>
      <c r="T19" s="105">
        <f>8098.235254</f>
        <v>8098.2352540000002</v>
      </c>
      <c r="U19" s="104">
        <f>+IF(ISERR(T19/S19*100),"N/A",ROUND(T19/S19*100,1))</f>
        <v>100</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67.5" customHeight="1" x14ac:dyDescent="0.2">
      <c r="B22" s="103" t="s">
        <v>383</v>
      </c>
      <c r="C22" s="86"/>
      <c r="D22" s="86"/>
      <c r="E22" s="86"/>
      <c r="F22" s="86"/>
      <c r="G22" s="86"/>
      <c r="H22" s="86"/>
      <c r="I22" s="86"/>
      <c r="J22" s="86"/>
      <c r="K22" s="86"/>
      <c r="L22" s="86"/>
      <c r="M22" s="86"/>
      <c r="N22" s="86"/>
      <c r="O22" s="86"/>
      <c r="P22" s="86"/>
      <c r="Q22" s="86"/>
      <c r="R22" s="86"/>
      <c r="S22" s="86"/>
      <c r="T22" s="86"/>
      <c r="U22" s="102"/>
    </row>
    <row r="23" spans="2:21" ht="30.6" customHeight="1" x14ac:dyDescent="0.2">
      <c r="B23" s="103" t="s">
        <v>382</v>
      </c>
      <c r="C23" s="86"/>
      <c r="D23" s="86"/>
      <c r="E23" s="86"/>
      <c r="F23" s="86"/>
      <c r="G23" s="86"/>
      <c r="H23" s="86"/>
      <c r="I23" s="86"/>
      <c r="J23" s="86"/>
      <c r="K23" s="86"/>
      <c r="L23" s="86"/>
      <c r="M23" s="86"/>
      <c r="N23" s="86"/>
      <c r="O23" s="86"/>
      <c r="P23" s="86"/>
      <c r="Q23" s="86"/>
      <c r="R23" s="86"/>
      <c r="S23" s="86"/>
      <c r="T23" s="86"/>
      <c r="U23" s="102"/>
    </row>
    <row r="24" spans="2:21" ht="35.450000000000003" customHeight="1" x14ac:dyDescent="0.2">
      <c r="B24" s="103" t="s">
        <v>381</v>
      </c>
      <c r="C24" s="86"/>
      <c r="D24" s="86"/>
      <c r="E24" s="86"/>
      <c r="F24" s="86"/>
      <c r="G24" s="86"/>
      <c r="H24" s="86"/>
      <c r="I24" s="86"/>
      <c r="J24" s="86"/>
      <c r="K24" s="86"/>
      <c r="L24" s="86"/>
      <c r="M24" s="86"/>
      <c r="N24" s="86"/>
      <c r="O24" s="86"/>
      <c r="P24" s="86"/>
      <c r="Q24" s="86"/>
      <c r="R24" s="86"/>
      <c r="S24" s="86"/>
      <c r="T24" s="86"/>
      <c r="U24" s="102"/>
    </row>
    <row r="25" spans="2:21" ht="34.5" customHeight="1" thickBot="1" x14ac:dyDescent="0.25">
      <c r="B25" s="101" t="s">
        <v>380</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415</v>
      </c>
      <c r="D4" s="58" t="s">
        <v>414</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52</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413</v>
      </c>
      <c r="D11" s="84"/>
      <c r="E11" s="84"/>
      <c r="F11" s="84"/>
      <c r="G11" s="84"/>
      <c r="H11" s="84"/>
      <c r="I11" s="84" t="s">
        <v>412</v>
      </c>
      <c r="J11" s="84"/>
      <c r="K11" s="84"/>
      <c r="L11" s="84" t="s">
        <v>411</v>
      </c>
      <c r="M11" s="84"/>
      <c r="N11" s="84"/>
      <c r="O11" s="84"/>
      <c r="P11" s="23" t="s">
        <v>371</v>
      </c>
      <c r="Q11" s="23" t="s">
        <v>364</v>
      </c>
      <c r="R11" s="111" t="s">
        <v>164</v>
      </c>
      <c r="S11" s="111">
        <v>37471537</v>
      </c>
      <c r="T11" s="111">
        <v>37433693</v>
      </c>
      <c r="U11" s="109">
        <f>99.9</f>
        <v>99.9</v>
      </c>
    </row>
    <row r="12" spans="1:22" ht="75" customHeight="1" thickTop="1" thickBot="1" x14ac:dyDescent="0.25">
      <c r="A12" s="21"/>
      <c r="B12" s="110" t="s">
        <v>34</v>
      </c>
      <c r="C12" s="84" t="s">
        <v>410</v>
      </c>
      <c r="D12" s="84"/>
      <c r="E12" s="84"/>
      <c r="F12" s="84"/>
      <c r="G12" s="84"/>
      <c r="H12" s="84"/>
      <c r="I12" s="84" t="s">
        <v>409</v>
      </c>
      <c r="J12" s="84"/>
      <c r="K12" s="84"/>
      <c r="L12" s="84" t="s">
        <v>408</v>
      </c>
      <c r="M12" s="84"/>
      <c r="N12" s="84"/>
      <c r="O12" s="84"/>
      <c r="P12" s="23" t="s">
        <v>404</v>
      </c>
      <c r="Q12" s="23" t="s">
        <v>364</v>
      </c>
      <c r="R12" s="111" t="s">
        <v>164</v>
      </c>
      <c r="S12" s="111">
        <v>1767120</v>
      </c>
      <c r="T12" s="111">
        <v>2371778</v>
      </c>
      <c r="U12" s="109">
        <f>134.22</f>
        <v>134.22</v>
      </c>
    </row>
    <row r="13" spans="1:22" ht="75" customHeight="1" thickTop="1" thickBot="1" x14ac:dyDescent="0.25">
      <c r="A13" s="21"/>
      <c r="B13" s="110" t="s">
        <v>36</v>
      </c>
      <c r="C13" s="84" t="s">
        <v>407</v>
      </c>
      <c r="D13" s="84"/>
      <c r="E13" s="84"/>
      <c r="F13" s="84"/>
      <c r="G13" s="84"/>
      <c r="H13" s="84"/>
      <c r="I13" s="84" t="s">
        <v>406</v>
      </c>
      <c r="J13" s="84"/>
      <c r="K13" s="84"/>
      <c r="L13" s="84" t="s">
        <v>405</v>
      </c>
      <c r="M13" s="84"/>
      <c r="N13" s="84"/>
      <c r="O13" s="84"/>
      <c r="P13" s="23" t="s">
        <v>404</v>
      </c>
      <c r="Q13" s="23" t="s">
        <v>38</v>
      </c>
      <c r="R13" s="111" t="s">
        <v>164</v>
      </c>
      <c r="S13" s="111">
        <v>1767120</v>
      </c>
      <c r="T13" s="111">
        <v>1767120</v>
      </c>
      <c r="U13" s="109">
        <f>100</f>
        <v>100</v>
      </c>
    </row>
    <row r="14" spans="1:22" ht="75" customHeight="1" thickTop="1" thickBot="1" x14ac:dyDescent="0.25">
      <c r="A14" s="21"/>
      <c r="B14" s="110" t="s">
        <v>37</v>
      </c>
      <c r="C14" s="84" t="s">
        <v>403</v>
      </c>
      <c r="D14" s="84"/>
      <c r="E14" s="84"/>
      <c r="F14" s="84"/>
      <c r="G14" s="84"/>
      <c r="H14" s="84"/>
      <c r="I14" s="84" t="s">
        <v>402</v>
      </c>
      <c r="J14" s="84"/>
      <c r="K14" s="84"/>
      <c r="L14" s="84" t="s">
        <v>401</v>
      </c>
      <c r="M14" s="84"/>
      <c r="N14" s="84"/>
      <c r="O14" s="84"/>
      <c r="P14" s="23" t="s">
        <v>184</v>
      </c>
      <c r="Q14" s="23" t="s">
        <v>38</v>
      </c>
      <c r="R14" s="111" t="s">
        <v>164</v>
      </c>
      <c r="S14" s="111">
        <v>2577003000</v>
      </c>
      <c r="T14" s="111">
        <v>2520392357</v>
      </c>
      <c r="U14" s="109">
        <f>97.8</f>
        <v>97.8</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4075.836678</f>
        <v>4075.8366780000001</v>
      </c>
      <c r="T18" s="105">
        <f>6267.01182</f>
        <v>6267.0118199999997</v>
      </c>
      <c r="U18" s="104">
        <f>+IF(ISERR(T18/S18*100),"N/A",ROUND(T18/S18*100,1))</f>
        <v>153.80000000000001</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6279.937407</f>
        <v>6279.9374070000003</v>
      </c>
      <c r="T19" s="105">
        <f>6267.01182</f>
        <v>6267.0118199999997</v>
      </c>
      <c r="U19" s="104">
        <f>+IF(ISERR(T19/S19*100),"N/A",ROUND(T19/S19*100,1))</f>
        <v>99.8</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53.85" customHeight="1" x14ac:dyDescent="0.2">
      <c r="B22" s="103" t="s">
        <v>400</v>
      </c>
      <c r="C22" s="86"/>
      <c r="D22" s="86"/>
      <c r="E22" s="86"/>
      <c r="F22" s="86"/>
      <c r="G22" s="86"/>
      <c r="H22" s="86"/>
      <c r="I22" s="86"/>
      <c r="J22" s="86"/>
      <c r="K22" s="86"/>
      <c r="L22" s="86"/>
      <c r="M22" s="86"/>
      <c r="N22" s="86"/>
      <c r="O22" s="86"/>
      <c r="P22" s="86"/>
      <c r="Q22" s="86"/>
      <c r="R22" s="86"/>
      <c r="S22" s="86"/>
      <c r="T22" s="86"/>
      <c r="U22" s="102"/>
    </row>
    <row r="23" spans="2:21" ht="38.85" customHeight="1" x14ac:dyDescent="0.2">
      <c r="B23" s="103" t="s">
        <v>399</v>
      </c>
      <c r="C23" s="86"/>
      <c r="D23" s="86"/>
      <c r="E23" s="86"/>
      <c r="F23" s="86"/>
      <c r="G23" s="86"/>
      <c r="H23" s="86"/>
      <c r="I23" s="86"/>
      <c r="J23" s="86"/>
      <c r="K23" s="86"/>
      <c r="L23" s="86"/>
      <c r="M23" s="86"/>
      <c r="N23" s="86"/>
      <c r="O23" s="86"/>
      <c r="P23" s="86"/>
      <c r="Q23" s="86"/>
      <c r="R23" s="86"/>
      <c r="S23" s="86"/>
      <c r="T23" s="86"/>
      <c r="U23" s="102"/>
    </row>
    <row r="24" spans="2:21" ht="31.5" customHeight="1" x14ac:dyDescent="0.2">
      <c r="B24" s="103" t="s">
        <v>398</v>
      </c>
      <c r="C24" s="86"/>
      <c r="D24" s="86"/>
      <c r="E24" s="86"/>
      <c r="F24" s="86"/>
      <c r="G24" s="86"/>
      <c r="H24" s="86"/>
      <c r="I24" s="86"/>
      <c r="J24" s="86"/>
      <c r="K24" s="86"/>
      <c r="L24" s="86"/>
      <c r="M24" s="86"/>
      <c r="N24" s="86"/>
      <c r="O24" s="86"/>
      <c r="P24" s="86"/>
      <c r="Q24" s="86"/>
      <c r="R24" s="86"/>
      <c r="S24" s="86"/>
      <c r="T24" s="86"/>
      <c r="U24" s="102"/>
    </row>
    <row r="25" spans="2:21" ht="35.85" customHeight="1" thickBot="1" x14ac:dyDescent="0.25">
      <c r="B25" s="101" t="s">
        <v>397</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434</v>
      </c>
      <c r="D4" s="58" t="s">
        <v>433</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119</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432</v>
      </c>
      <c r="D11" s="84"/>
      <c r="E11" s="84"/>
      <c r="F11" s="84"/>
      <c r="G11" s="84"/>
      <c r="H11" s="84"/>
      <c r="I11" s="84" t="s">
        <v>431</v>
      </c>
      <c r="J11" s="84"/>
      <c r="K11" s="84"/>
      <c r="L11" s="84" t="s">
        <v>430</v>
      </c>
      <c r="M11" s="84"/>
      <c r="N11" s="84"/>
      <c r="O11" s="84"/>
      <c r="P11" s="23" t="s">
        <v>32</v>
      </c>
      <c r="Q11" s="23" t="s">
        <v>290</v>
      </c>
      <c r="R11" s="23" t="s">
        <v>164</v>
      </c>
      <c r="S11" s="23" t="s">
        <v>164</v>
      </c>
      <c r="T11" s="23">
        <v>88</v>
      </c>
      <c r="U11" s="109">
        <f>93</f>
        <v>93</v>
      </c>
    </row>
    <row r="12" spans="1:22" ht="75" customHeight="1" thickTop="1" thickBot="1" x14ac:dyDescent="0.25">
      <c r="A12" s="21"/>
      <c r="B12" s="110" t="s">
        <v>34</v>
      </c>
      <c r="C12" s="84" t="s">
        <v>429</v>
      </c>
      <c r="D12" s="84"/>
      <c r="E12" s="84"/>
      <c r="F12" s="84"/>
      <c r="G12" s="84"/>
      <c r="H12" s="84"/>
      <c r="I12" s="84" t="s">
        <v>428</v>
      </c>
      <c r="J12" s="84"/>
      <c r="K12" s="84"/>
      <c r="L12" s="84" t="s">
        <v>427</v>
      </c>
      <c r="M12" s="84"/>
      <c r="N12" s="84"/>
      <c r="O12" s="84"/>
      <c r="P12" s="23" t="s">
        <v>32</v>
      </c>
      <c r="Q12" s="23" t="s">
        <v>33</v>
      </c>
      <c r="R12" s="23" t="s">
        <v>164</v>
      </c>
      <c r="S12" s="23" t="s">
        <v>164</v>
      </c>
      <c r="T12" s="23">
        <v>59</v>
      </c>
      <c r="U12" s="109">
        <f>74</f>
        <v>74</v>
      </c>
    </row>
    <row r="13" spans="1:22" ht="75" customHeight="1" thickTop="1" thickBot="1" x14ac:dyDescent="0.25">
      <c r="A13" s="21"/>
      <c r="B13" s="110" t="s">
        <v>36</v>
      </c>
      <c r="C13" s="84" t="s">
        <v>426</v>
      </c>
      <c r="D13" s="84"/>
      <c r="E13" s="84"/>
      <c r="F13" s="84"/>
      <c r="G13" s="84"/>
      <c r="H13" s="84"/>
      <c r="I13" s="84" t="s">
        <v>425</v>
      </c>
      <c r="J13" s="84"/>
      <c r="K13" s="84"/>
      <c r="L13" s="84" t="s">
        <v>424</v>
      </c>
      <c r="M13" s="84"/>
      <c r="N13" s="84"/>
      <c r="O13" s="84"/>
      <c r="P13" s="23" t="s">
        <v>32</v>
      </c>
      <c r="Q13" s="23" t="s">
        <v>423</v>
      </c>
      <c r="R13" s="23" t="s">
        <v>164</v>
      </c>
      <c r="S13" s="23">
        <v>95</v>
      </c>
      <c r="T13" s="23">
        <v>95</v>
      </c>
      <c r="U13" s="109">
        <f>100</f>
        <v>100</v>
      </c>
    </row>
    <row r="14" spans="1:22" ht="75" customHeight="1" thickTop="1" thickBot="1" x14ac:dyDescent="0.25">
      <c r="A14" s="21"/>
      <c r="B14" s="110" t="s">
        <v>37</v>
      </c>
      <c r="C14" s="84" t="s">
        <v>422</v>
      </c>
      <c r="D14" s="84"/>
      <c r="E14" s="84"/>
      <c r="F14" s="84"/>
      <c r="G14" s="84"/>
      <c r="H14" s="84"/>
      <c r="I14" s="84" t="s">
        <v>421</v>
      </c>
      <c r="J14" s="84"/>
      <c r="K14" s="84"/>
      <c r="L14" s="84" t="s">
        <v>420</v>
      </c>
      <c r="M14" s="84"/>
      <c r="N14" s="84"/>
      <c r="O14" s="84"/>
      <c r="P14" s="23" t="s">
        <v>32</v>
      </c>
      <c r="Q14" s="23" t="s">
        <v>165</v>
      </c>
      <c r="R14" s="23" t="s">
        <v>164</v>
      </c>
      <c r="S14" s="23" t="s">
        <v>164</v>
      </c>
      <c r="T14" s="23">
        <v>97</v>
      </c>
      <c r="U14" s="109">
        <f>97</f>
        <v>97</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3031.415861</f>
        <v>3031.4158609999999</v>
      </c>
      <c r="T18" s="105">
        <f>2893.17606</f>
        <v>2893.1760599999998</v>
      </c>
      <c r="U18" s="104">
        <f>+IF(ISERR(T18/S18*100),"N/A",ROUND(T18/S18*100,1))</f>
        <v>95.4</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2816.149157</f>
        <v>2816.1491569999998</v>
      </c>
      <c r="T19" s="105">
        <f>2893.17606</f>
        <v>2893.1760599999998</v>
      </c>
      <c r="U19" s="104">
        <f>+IF(ISERR(T19/S19*100),"N/A",ROUND(T19/S19*100,1))</f>
        <v>102.7</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25.35" customHeight="1" x14ac:dyDescent="0.2">
      <c r="B22" s="103" t="s">
        <v>419</v>
      </c>
      <c r="C22" s="86"/>
      <c r="D22" s="86"/>
      <c r="E22" s="86"/>
      <c r="F22" s="86"/>
      <c r="G22" s="86"/>
      <c r="H22" s="86"/>
      <c r="I22" s="86"/>
      <c r="J22" s="86"/>
      <c r="K22" s="86"/>
      <c r="L22" s="86"/>
      <c r="M22" s="86"/>
      <c r="N22" s="86"/>
      <c r="O22" s="86"/>
      <c r="P22" s="86"/>
      <c r="Q22" s="86"/>
      <c r="R22" s="86"/>
      <c r="S22" s="86"/>
      <c r="T22" s="86"/>
      <c r="U22" s="102"/>
    </row>
    <row r="23" spans="2:21" ht="20.100000000000001" customHeight="1" x14ac:dyDescent="0.2">
      <c r="B23" s="103" t="s">
        <v>418</v>
      </c>
      <c r="C23" s="86"/>
      <c r="D23" s="86"/>
      <c r="E23" s="86"/>
      <c r="F23" s="86"/>
      <c r="G23" s="86"/>
      <c r="H23" s="86"/>
      <c r="I23" s="86"/>
      <c r="J23" s="86"/>
      <c r="K23" s="86"/>
      <c r="L23" s="86"/>
      <c r="M23" s="86"/>
      <c r="N23" s="86"/>
      <c r="O23" s="86"/>
      <c r="P23" s="86"/>
      <c r="Q23" s="86"/>
      <c r="R23" s="86"/>
      <c r="S23" s="86"/>
      <c r="T23" s="86"/>
      <c r="U23" s="102"/>
    </row>
    <row r="24" spans="2:21" ht="21.6" customHeight="1" x14ac:dyDescent="0.2">
      <c r="B24" s="103" t="s">
        <v>417</v>
      </c>
      <c r="C24" s="86"/>
      <c r="D24" s="86"/>
      <c r="E24" s="86"/>
      <c r="F24" s="86"/>
      <c r="G24" s="86"/>
      <c r="H24" s="86"/>
      <c r="I24" s="86"/>
      <c r="J24" s="86"/>
      <c r="K24" s="86"/>
      <c r="L24" s="86"/>
      <c r="M24" s="86"/>
      <c r="N24" s="86"/>
      <c r="O24" s="86"/>
      <c r="P24" s="86"/>
      <c r="Q24" s="86"/>
      <c r="R24" s="86"/>
      <c r="S24" s="86"/>
      <c r="T24" s="86"/>
      <c r="U24" s="102"/>
    </row>
    <row r="25" spans="2:21" ht="39.75" customHeight="1" thickBot="1" x14ac:dyDescent="0.25">
      <c r="B25" s="101" t="s">
        <v>416</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452</v>
      </c>
      <c r="D4" s="58" t="s">
        <v>451</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96</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450</v>
      </c>
      <c r="D11" s="84"/>
      <c r="E11" s="84"/>
      <c r="F11" s="84"/>
      <c r="G11" s="84"/>
      <c r="H11" s="84"/>
      <c r="I11" s="84" t="s">
        <v>449</v>
      </c>
      <c r="J11" s="84"/>
      <c r="K11" s="84"/>
      <c r="L11" s="84" t="s">
        <v>448</v>
      </c>
      <c r="M11" s="84"/>
      <c r="N11" s="84"/>
      <c r="O11" s="84"/>
      <c r="P11" s="23" t="s">
        <v>32</v>
      </c>
      <c r="Q11" s="23" t="s">
        <v>33</v>
      </c>
      <c r="R11" s="23">
        <v>22</v>
      </c>
      <c r="S11" s="23">
        <v>36</v>
      </c>
      <c r="T11" s="23">
        <v>61.3</v>
      </c>
      <c r="U11" s="109">
        <f>170.3</f>
        <v>170.3</v>
      </c>
    </row>
    <row r="12" spans="1:22" ht="75" customHeight="1" thickTop="1" thickBot="1" x14ac:dyDescent="0.25">
      <c r="A12" s="21"/>
      <c r="B12" s="110" t="s">
        <v>34</v>
      </c>
      <c r="C12" s="84" t="s">
        <v>447</v>
      </c>
      <c r="D12" s="84"/>
      <c r="E12" s="84"/>
      <c r="F12" s="84"/>
      <c r="G12" s="84"/>
      <c r="H12" s="84"/>
      <c r="I12" s="84" t="s">
        <v>446</v>
      </c>
      <c r="J12" s="84"/>
      <c r="K12" s="84"/>
      <c r="L12" s="84" t="s">
        <v>445</v>
      </c>
      <c r="M12" s="84"/>
      <c r="N12" s="84"/>
      <c r="O12" s="84"/>
      <c r="P12" s="23" t="s">
        <v>32</v>
      </c>
      <c r="Q12" s="23" t="s">
        <v>33</v>
      </c>
      <c r="R12" s="23">
        <v>6</v>
      </c>
      <c r="S12" s="23">
        <v>6</v>
      </c>
      <c r="T12" s="23">
        <v>8.5</v>
      </c>
      <c r="U12" s="109">
        <f>141.6</f>
        <v>141.6</v>
      </c>
    </row>
    <row r="13" spans="1:22" ht="75" customHeight="1" thickTop="1" thickBot="1" x14ac:dyDescent="0.25">
      <c r="A13" s="21"/>
      <c r="B13" s="110" t="s">
        <v>36</v>
      </c>
      <c r="C13" s="84" t="s">
        <v>444</v>
      </c>
      <c r="D13" s="84"/>
      <c r="E13" s="84"/>
      <c r="F13" s="84"/>
      <c r="G13" s="84"/>
      <c r="H13" s="84"/>
      <c r="I13" s="84" t="s">
        <v>443</v>
      </c>
      <c r="J13" s="84"/>
      <c r="K13" s="84"/>
      <c r="L13" s="84" t="s">
        <v>442</v>
      </c>
      <c r="M13" s="84"/>
      <c r="N13" s="84"/>
      <c r="O13" s="84"/>
      <c r="P13" s="23" t="s">
        <v>32</v>
      </c>
      <c r="Q13" s="23" t="s">
        <v>170</v>
      </c>
      <c r="R13" s="23">
        <v>100</v>
      </c>
      <c r="S13" s="23">
        <v>100</v>
      </c>
      <c r="T13" s="23">
        <v>100</v>
      </c>
      <c r="U13" s="109">
        <f>100</f>
        <v>100</v>
      </c>
    </row>
    <row r="14" spans="1:22" ht="75" customHeight="1" thickTop="1" thickBot="1" x14ac:dyDescent="0.25">
      <c r="A14" s="21"/>
      <c r="B14" s="110" t="s">
        <v>37</v>
      </c>
      <c r="C14" s="84" t="s">
        <v>441</v>
      </c>
      <c r="D14" s="84"/>
      <c r="E14" s="84"/>
      <c r="F14" s="84"/>
      <c r="G14" s="84"/>
      <c r="H14" s="84"/>
      <c r="I14" s="84" t="s">
        <v>440</v>
      </c>
      <c r="J14" s="84"/>
      <c r="K14" s="84"/>
      <c r="L14" s="84" t="s">
        <v>439</v>
      </c>
      <c r="M14" s="84"/>
      <c r="N14" s="84"/>
      <c r="O14" s="84"/>
      <c r="P14" s="23" t="s">
        <v>32</v>
      </c>
      <c r="Q14" s="23" t="s">
        <v>283</v>
      </c>
      <c r="R14" s="23">
        <v>100</v>
      </c>
      <c r="S14" s="23">
        <v>100</v>
      </c>
      <c r="T14" s="23">
        <v>50</v>
      </c>
      <c r="U14" s="109">
        <f>100</f>
        <v>100</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183.379315</f>
        <v>183.37931499999999</v>
      </c>
      <c r="T18" s="105">
        <f>184.591779</f>
        <v>184.591779</v>
      </c>
      <c r="U18" s="104">
        <f>+IF(ISERR(T18/S18*100),"N/A",ROUND(T18/S18*100,1))</f>
        <v>100.7</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176.019241</f>
        <v>176.01924099999999</v>
      </c>
      <c r="T19" s="105">
        <f>184.591779</f>
        <v>184.591779</v>
      </c>
      <c r="U19" s="104">
        <f>+IF(ISERR(T19/S19*100),"N/A",ROUND(T19/S19*100,1))</f>
        <v>104.9</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69.75" customHeight="1" x14ac:dyDescent="0.2">
      <c r="B22" s="103" t="s">
        <v>438</v>
      </c>
      <c r="C22" s="86"/>
      <c r="D22" s="86"/>
      <c r="E22" s="86"/>
      <c r="F22" s="86"/>
      <c r="G22" s="86"/>
      <c r="H22" s="86"/>
      <c r="I22" s="86"/>
      <c r="J22" s="86"/>
      <c r="K22" s="86"/>
      <c r="L22" s="86"/>
      <c r="M22" s="86"/>
      <c r="N22" s="86"/>
      <c r="O22" s="86"/>
      <c r="P22" s="86"/>
      <c r="Q22" s="86"/>
      <c r="R22" s="86"/>
      <c r="S22" s="86"/>
      <c r="T22" s="86"/>
      <c r="U22" s="102"/>
    </row>
    <row r="23" spans="2:21" ht="34.35" customHeight="1" x14ac:dyDescent="0.2">
      <c r="B23" s="103" t="s">
        <v>437</v>
      </c>
      <c r="C23" s="86"/>
      <c r="D23" s="86"/>
      <c r="E23" s="86"/>
      <c r="F23" s="86"/>
      <c r="G23" s="86"/>
      <c r="H23" s="86"/>
      <c r="I23" s="86"/>
      <c r="J23" s="86"/>
      <c r="K23" s="86"/>
      <c r="L23" s="86"/>
      <c r="M23" s="86"/>
      <c r="N23" s="86"/>
      <c r="O23" s="86"/>
      <c r="P23" s="86"/>
      <c r="Q23" s="86"/>
      <c r="R23" s="86"/>
      <c r="S23" s="86"/>
      <c r="T23" s="86"/>
      <c r="U23" s="102"/>
    </row>
    <row r="24" spans="2:21" ht="38.85" customHeight="1" x14ac:dyDescent="0.2">
      <c r="B24" s="103" t="s">
        <v>436</v>
      </c>
      <c r="C24" s="86"/>
      <c r="D24" s="86"/>
      <c r="E24" s="86"/>
      <c r="F24" s="86"/>
      <c r="G24" s="86"/>
      <c r="H24" s="86"/>
      <c r="I24" s="86"/>
      <c r="J24" s="86"/>
      <c r="K24" s="86"/>
      <c r="L24" s="86"/>
      <c r="M24" s="86"/>
      <c r="N24" s="86"/>
      <c r="O24" s="86"/>
      <c r="P24" s="86"/>
      <c r="Q24" s="86"/>
      <c r="R24" s="86"/>
      <c r="S24" s="86"/>
      <c r="T24" s="86"/>
      <c r="U24" s="102"/>
    </row>
    <row r="25" spans="2:21" ht="67.7" customHeight="1" thickBot="1" x14ac:dyDescent="0.25">
      <c r="B25" s="101" t="s">
        <v>435</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topLeftCell="N16" zoomScale="80" zoomScaleNormal="80" zoomScaleSheetLayoutView="80" workbookViewId="0">
      <selection activeCell="U18" sqref="U18:U19"/>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73.5" customHeight="1" thickTop="1" x14ac:dyDescent="0.2">
      <c r="B4" s="8" t="s">
        <v>5</v>
      </c>
      <c r="C4" s="9" t="s">
        <v>48</v>
      </c>
      <c r="D4" s="58" t="s">
        <v>49</v>
      </c>
      <c r="E4" s="58"/>
      <c r="F4" s="58"/>
      <c r="G4" s="58"/>
      <c r="H4" s="58"/>
      <c r="I4" s="10"/>
      <c r="J4" s="11" t="s">
        <v>6</v>
      </c>
      <c r="K4" s="12" t="s">
        <v>7</v>
      </c>
      <c r="L4" s="59" t="s">
        <v>2</v>
      </c>
      <c r="M4" s="59"/>
      <c r="N4" s="59"/>
      <c r="O4" s="59"/>
      <c r="P4" s="11" t="s">
        <v>8</v>
      </c>
      <c r="Q4" s="59" t="s">
        <v>50</v>
      </c>
      <c r="R4" s="59"/>
      <c r="S4" s="11" t="s">
        <v>9</v>
      </c>
      <c r="T4" s="59"/>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52</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63" t="s">
        <v>18</v>
      </c>
      <c r="C8" s="66" t="s">
        <v>19</v>
      </c>
      <c r="D8" s="66"/>
      <c r="E8" s="66"/>
      <c r="F8" s="66"/>
      <c r="G8" s="66"/>
      <c r="H8" s="67"/>
      <c r="I8" s="72" t="s">
        <v>20</v>
      </c>
      <c r="J8" s="73"/>
      <c r="K8" s="73"/>
      <c r="L8" s="73"/>
      <c r="M8" s="73"/>
      <c r="N8" s="73"/>
      <c r="O8" s="73"/>
      <c r="P8" s="73"/>
      <c r="Q8" s="73"/>
      <c r="R8" s="73"/>
      <c r="S8" s="74"/>
      <c r="T8" s="75" t="s">
        <v>21</v>
      </c>
      <c r="U8" s="76"/>
    </row>
    <row r="9" spans="1:22" ht="19.5" customHeight="1" x14ac:dyDescent="0.2">
      <c r="B9" s="64"/>
      <c r="C9" s="68"/>
      <c r="D9" s="68"/>
      <c r="E9" s="68"/>
      <c r="F9" s="68"/>
      <c r="G9" s="68"/>
      <c r="H9" s="69"/>
      <c r="I9" s="77" t="s">
        <v>22</v>
      </c>
      <c r="J9" s="66"/>
      <c r="K9" s="66"/>
      <c r="L9" s="66" t="s">
        <v>23</v>
      </c>
      <c r="M9" s="66"/>
      <c r="N9" s="66"/>
      <c r="O9" s="66"/>
      <c r="P9" s="66" t="s">
        <v>24</v>
      </c>
      <c r="Q9" s="66" t="s">
        <v>25</v>
      </c>
      <c r="R9" s="80" t="s">
        <v>26</v>
      </c>
      <c r="S9" s="81"/>
      <c r="T9" s="66" t="s">
        <v>27</v>
      </c>
      <c r="U9" s="82" t="s">
        <v>28</v>
      </c>
    </row>
    <row r="10" spans="1:22" ht="26.25" customHeight="1" thickBot="1" x14ac:dyDescent="0.25">
      <c r="B10" s="65"/>
      <c r="C10" s="70"/>
      <c r="D10" s="70"/>
      <c r="E10" s="70"/>
      <c r="F10" s="70"/>
      <c r="G10" s="70"/>
      <c r="H10" s="71"/>
      <c r="I10" s="78"/>
      <c r="J10" s="79"/>
      <c r="K10" s="79"/>
      <c r="L10" s="79"/>
      <c r="M10" s="79"/>
      <c r="N10" s="79"/>
      <c r="O10" s="79"/>
      <c r="P10" s="79"/>
      <c r="Q10" s="79"/>
      <c r="R10" s="19" t="s">
        <v>29</v>
      </c>
      <c r="S10" s="20" t="s">
        <v>30</v>
      </c>
      <c r="T10" s="79"/>
      <c r="U10" s="83"/>
    </row>
    <row r="11" spans="1:22" ht="75" customHeight="1" thickTop="1" thickBot="1" x14ac:dyDescent="0.25">
      <c r="A11" s="21"/>
      <c r="B11" s="22" t="s">
        <v>31</v>
      </c>
      <c r="C11" s="84" t="s">
        <v>53</v>
      </c>
      <c r="D11" s="84"/>
      <c r="E11" s="84"/>
      <c r="F11" s="84"/>
      <c r="G11" s="84"/>
      <c r="H11" s="84"/>
      <c r="I11" s="84" t="s">
        <v>54</v>
      </c>
      <c r="J11" s="84"/>
      <c r="K11" s="84"/>
      <c r="L11" s="84" t="s">
        <v>55</v>
      </c>
      <c r="M11" s="84"/>
      <c r="N11" s="84"/>
      <c r="O11" s="84"/>
      <c r="P11" s="23" t="s">
        <v>32</v>
      </c>
      <c r="Q11" s="23" t="s">
        <v>56</v>
      </c>
      <c r="R11" s="23">
        <v>87.99</v>
      </c>
      <c r="S11" s="23">
        <v>87.99</v>
      </c>
      <c r="T11" s="23">
        <v>86.76</v>
      </c>
      <c r="U11" s="44">
        <f>98.61</f>
        <v>98.61</v>
      </c>
    </row>
    <row r="12" spans="1:22" ht="96" customHeight="1" thickTop="1" thickBot="1" x14ac:dyDescent="0.25">
      <c r="A12" s="21"/>
      <c r="B12" s="22" t="s">
        <v>34</v>
      </c>
      <c r="C12" s="84" t="s">
        <v>57</v>
      </c>
      <c r="D12" s="84"/>
      <c r="E12" s="84"/>
      <c r="F12" s="84"/>
      <c r="G12" s="84"/>
      <c r="H12" s="84"/>
      <c r="I12" s="84" t="s">
        <v>58</v>
      </c>
      <c r="J12" s="84"/>
      <c r="K12" s="84"/>
      <c r="L12" s="84" t="s">
        <v>59</v>
      </c>
      <c r="M12" s="84"/>
      <c r="N12" s="84"/>
      <c r="O12" s="84"/>
      <c r="P12" s="23" t="s">
        <v>32</v>
      </c>
      <c r="Q12" s="23" t="s">
        <v>60</v>
      </c>
      <c r="R12" s="23">
        <v>4.03</v>
      </c>
      <c r="S12" s="23">
        <v>4.03</v>
      </c>
      <c r="T12" s="23">
        <v>3.19</v>
      </c>
      <c r="U12" s="44">
        <f>120.84</f>
        <v>120.84</v>
      </c>
    </row>
    <row r="13" spans="1:22" ht="75" customHeight="1" thickTop="1" thickBot="1" x14ac:dyDescent="0.25">
      <c r="A13" s="21"/>
      <c r="B13" s="22" t="s">
        <v>36</v>
      </c>
      <c r="C13" s="84" t="s">
        <v>61</v>
      </c>
      <c r="D13" s="84"/>
      <c r="E13" s="84"/>
      <c r="F13" s="84"/>
      <c r="G13" s="84"/>
      <c r="H13" s="84"/>
      <c r="I13" s="84" t="s">
        <v>62</v>
      </c>
      <c r="J13" s="84"/>
      <c r="K13" s="84"/>
      <c r="L13" s="84" t="s">
        <v>63</v>
      </c>
      <c r="M13" s="84"/>
      <c r="N13" s="84"/>
      <c r="O13" s="84"/>
      <c r="P13" s="23" t="s">
        <v>32</v>
      </c>
      <c r="Q13" s="23" t="s">
        <v>64</v>
      </c>
      <c r="R13" s="23">
        <v>7.98</v>
      </c>
      <c r="S13" s="23">
        <v>7.98</v>
      </c>
      <c r="T13" s="23">
        <v>10</v>
      </c>
      <c r="U13" s="44">
        <f>74.67</f>
        <v>74.67</v>
      </c>
    </row>
    <row r="14" spans="1:22" ht="75" customHeight="1" thickTop="1" thickBot="1" x14ac:dyDescent="0.25">
      <c r="A14" s="21"/>
      <c r="B14" s="22" t="s">
        <v>37</v>
      </c>
      <c r="C14" s="84" t="s">
        <v>65</v>
      </c>
      <c r="D14" s="84"/>
      <c r="E14" s="84"/>
      <c r="F14" s="84"/>
      <c r="G14" s="84"/>
      <c r="H14" s="84"/>
      <c r="I14" s="84" t="s">
        <v>66</v>
      </c>
      <c r="J14" s="84"/>
      <c r="K14" s="84"/>
      <c r="L14" s="84" t="s">
        <v>67</v>
      </c>
      <c r="M14" s="84"/>
      <c r="N14" s="84"/>
      <c r="O14" s="84"/>
      <c r="P14" s="23" t="s">
        <v>68</v>
      </c>
      <c r="Q14" s="23" t="s">
        <v>64</v>
      </c>
      <c r="R14" s="23">
        <v>57.43</v>
      </c>
      <c r="S14" s="23">
        <v>57.43</v>
      </c>
      <c r="T14" s="23">
        <v>69.05</v>
      </c>
      <c r="U14" s="44">
        <f>120.23</f>
        <v>120.23</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32" t="s">
        <v>26</v>
      </c>
      <c r="T16" s="32"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38"/>
      <c r="F18" s="38"/>
      <c r="G18" s="38"/>
      <c r="H18" s="39"/>
      <c r="I18" s="39"/>
      <c r="J18" s="39"/>
      <c r="K18" s="39"/>
      <c r="L18" s="39"/>
      <c r="M18" s="39"/>
      <c r="N18" s="39"/>
      <c r="O18" s="39"/>
      <c r="P18" s="40"/>
      <c r="Q18" s="40"/>
      <c r="R18" s="40"/>
      <c r="S18" s="45">
        <v>86464.253043000004</v>
      </c>
      <c r="T18" s="45">
        <v>143912.02919500001</v>
      </c>
      <c r="U18" s="46">
        <f>+IF(ISERR(T18/S18*100),"N/A",ROUND(T18/S18*100,1))</f>
        <v>166.4</v>
      </c>
    </row>
    <row r="19" spans="2:21" ht="13.5" customHeight="1" thickBot="1" x14ac:dyDescent="0.25">
      <c r="B19" s="93" t="s">
        <v>45</v>
      </c>
      <c r="C19" s="94"/>
      <c r="D19" s="94"/>
      <c r="E19" s="41"/>
      <c r="F19" s="41"/>
      <c r="G19" s="41"/>
      <c r="H19" s="42"/>
      <c r="I19" s="42"/>
      <c r="J19" s="42"/>
      <c r="K19" s="42"/>
      <c r="L19" s="42"/>
      <c r="M19" s="42"/>
      <c r="N19" s="42"/>
      <c r="O19" s="42"/>
      <c r="P19" s="43"/>
      <c r="Q19" s="43"/>
      <c r="R19" s="43"/>
      <c r="S19" s="45">
        <v>143520.79538699999</v>
      </c>
      <c r="T19" s="45">
        <v>143912.02919500001</v>
      </c>
      <c r="U19" s="46">
        <f>+IF(ISERR(T19/S19*100),"N/A",ROUND(T19/S19*100,1))</f>
        <v>100.3</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102.75" customHeight="1" x14ac:dyDescent="0.2">
      <c r="B22" s="85" t="s">
        <v>69</v>
      </c>
      <c r="C22" s="86"/>
      <c r="D22" s="86"/>
      <c r="E22" s="86"/>
      <c r="F22" s="86"/>
      <c r="G22" s="86"/>
      <c r="H22" s="86"/>
      <c r="I22" s="86"/>
      <c r="J22" s="86"/>
      <c r="K22" s="86"/>
      <c r="L22" s="86"/>
      <c r="M22" s="86"/>
      <c r="N22" s="86"/>
      <c r="O22" s="86"/>
      <c r="P22" s="86"/>
      <c r="Q22" s="86"/>
      <c r="R22" s="86"/>
      <c r="S22" s="86"/>
      <c r="T22" s="86"/>
      <c r="U22" s="87"/>
    </row>
    <row r="23" spans="2:21" ht="80.25" customHeight="1" x14ac:dyDescent="0.2">
      <c r="B23" s="85" t="s">
        <v>70</v>
      </c>
      <c r="C23" s="86"/>
      <c r="D23" s="86"/>
      <c r="E23" s="86"/>
      <c r="F23" s="86"/>
      <c r="G23" s="86"/>
      <c r="H23" s="86"/>
      <c r="I23" s="86"/>
      <c r="J23" s="86"/>
      <c r="K23" s="86"/>
      <c r="L23" s="86"/>
      <c r="M23" s="86"/>
      <c r="N23" s="86"/>
      <c r="O23" s="86"/>
      <c r="P23" s="86"/>
      <c r="Q23" s="86"/>
      <c r="R23" s="86"/>
      <c r="S23" s="86"/>
      <c r="T23" s="86"/>
      <c r="U23" s="87"/>
    </row>
    <row r="24" spans="2:21" ht="55.5" customHeight="1" x14ac:dyDescent="0.2">
      <c r="B24" s="85" t="s">
        <v>71</v>
      </c>
      <c r="C24" s="86"/>
      <c r="D24" s="86"/>
      <c r="E24" s="86"/>
      <c r="F24" s="86"/>
      <c r="G24" s="86"/>
      <c r="H24" s="86"/>
      <c r="I24" s="86"/>
      <c r="J24" s="86"/>
      <c r="K24" s="86"/>
      <c r="L24" s="86"/>
      <c r="M24" s="86"/>
      <c r="N24" s="86"/>
      <c r="O24" s="86"/>
      <c r="P24" s="86"/>
      <c r="Q24" s="86"/>
      <c r="R24" s="86"/>
      <c r="S24" s="86"/>
      <c r="T24" s="86"/>
      <c r="U24" s="87"/>
    </row>
    <row r="25" spans="2:21" ht="66.75" customHeight="1" thickBot="1" x14ac:dyDescent="0.25">
      <c r="B25" s="88" t="s">
        <v>72</v>
      </c>
      <c r="C25" s="89"/>
      <c r="D25" s="89"/>
      <c r="E25" s="89"/>
      <c r="F25" s="89"/>
      <c r="G25" s="89"/>
      <c r="H25" s="89"/>
      <c r="I25" s="89"/>
      <c r="J25" s="89"/>
      <c r="K25" s="89"/>
      <c r="L25" s="89"/>
      <c r="M25" s="89"/>
      <c r="N25" s="89"/>
      <c r="O25" s="89"/>
      <c r="P25" s="89"/>
      <c r="Q25" s="89"/>
      <c r="R25" s="89"/>
      <c r="S25" s="89"/>
      <c r="T25" s="89"/>
      <c r="U25" s="90"/>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topLeftCell="L13" zoomScale="80" zoomScaleNormal="80" zoomScaleSheetLayoutView="80" workbookViewId="0">
      <selection activeCell="U18" sqref="U18:U19"/>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195" customHeight="1" thickTop="1" x14ac:dyDescent="0.2">
      <c r="B4" s="8" t="s">
        <v>5</v>
      </c>
      <c r="C4" s="9" t="s">
        <v>73</v>
      </c>
      <c r="D4" s="58" t="s">
        <v>74</v>
      </c>
      <c r="E4" s="58"/>
      <c r="F4" s="58"/>
      <c r="G4" s="58"/>
      <c r="H4" s="58"/>
      <c r="I4" s="10"/>
      <c r="J4" s="11" t="s">
        <v>6</v>
      </c>
      <c r="K4" s="12" t="s">
        <v>7</v>
      </c>
      <c r="L4" s="59" t="s">
        <v>2</v>
      </c>
      <c r="M4" s="59"/>
      <c r="N4" s="59"/>
      <c r="O4" s="59"/>
      <c r="P4" s="11" t="s">
        <v>8</v>
      </c>
      <c r="Q4" s="59" t="s">
        <v>50</v>
      </c>
      <c r="R4" s="59"/>
      <c r="S4" s="11" t="s">
        <v>9</v>
      </c>
      <c r="T4" s="59"/>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52.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75</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63" t="s">
        <v>18</v>
      </c>
      <c r="C8" s="66" t="s">
        <v>19</v>
      </c>
      <c r="D8" s="66"/>
      <c r="E8" s="66"/>
      <c r="F8" s="66"/>
      <c r="G8" s="66"/>
      <c r="H8" s="67"/>
      <c r="I8" s="72" t="s">
        <v>20</v>
      </c>
      <c r="J8" s="73"/>
      <c r="K8" s="73"/>
      <c r="L8" s="73"/>
      <c r="M8" s="73"/>
      <c r="N8" s="73"/>
      <c r="O8" s="73"/>
      <c r="P8" s="73"/>
      <c r="Q8" s="73"/>
      <c r="R8" s="73"/>
      <c r="S8" s="74"/>
      <c r="T8" s="75" t="s">
        <v>21</v>
      </c>
      <c r="U8" s="76"/>
    </row>
    <row r="9" spans="1:22" ht="19.5" customHeight="1" x14ac:dyDescent="0.2">
      <c r="B9" s="64"/>
      <c r="C9" s="68"/>
      <c r="D9" s="68"/>
      <c r="E9" s="68"/>
      <c r="F9" s="68"/>
      <c r="G9" s="68"/>
      <c r="H9" s="69"/>
      <c r="I9" s="77" t="s">
        <v>22</v>
      </c>
      <c r="J9" s="66"/>
      <c r="K9" s="66"/>
      <c r="L9" s="66" t="s">
        <v>23</v>
      </c>
      <c r="M9" s="66"/>
      <c r="N9" s="66"/>
      <c r="O9" s="66"/>
      <c r="P9" s="66" t="s">
        <v>24</v>
      </c>
      <c r="Q9" s="66" t="s">
        <v>25</v>
      </c>
      <c r="R9" s="80" t="s">
        <v>26</v>
      </c>
      <c r="S9" s="81"/>
      <c r="T9" s="66" t="s">
        <v>27</v>
      </c>
      <c r="U9" s="82" t="s">
        <v>28</v>
      </c>
    </row>
    <row r="10" spans="1:22" ht="26.25" customHeight="1" thickBot="1" x14ac:dyDescent="0.25">
      <c r="B10" s="65"/>
      <c r="C10" s="70"/>
      <c r="D10" s="70"/>
      <c r="E10" s="70"/>
      <c r="F10" s="70"/>
      <c r="G10" s="70"/>
      <c r="H10" s="71"/>
      <c r="I10" s="78"/>
      <c r="J10" s="79"/>
      <c r="K10" s="79"/>
      <c r="L10" s="79"/>
      <c r="M10" s="79"/>
      <c r="N10" s="79"/>
      <c r="O10" s="79"/>
      <c r="P10" s="79"/>
      <c r="Q10" s="79"/>
      <c r="R10" s="19" t="s">
        <v>29</v>
      </c>
      <c r="S10" s="20" t="s">
        <v>30</v>
      </c>
      <c r="T10" s="79"/>
      <c r="U10" s="83"/>
    </row>
    <row r="11" spans="1:22" ht="75" customHeight="1" thickTop="1" thickBot="1" x14ac:dyDescent="0.25">
      <c r="A11" s="21"/>
      <c r="B11" s="22" t="s">
        <v>31</v>
      </c>
      <c r="C11" s="84" t="s">
        <v>76</v>
      </c>
      <c r="D11" s="84"/>
      <c r="E11" s="84"/>
      <c r="F11" s="84"/>
      <c r="G11" s="84"/>
      <c r="H11" s="84"/>
      <c r="I11" s="84" t="s">
        <v>77</v>
      </c>
      <c r="J11" s="84"/>
      <c r="K11" s="84"/>
      <c r="L11" s="84" t="s">
        <v>78</v>
      </c>
      <c r="M11" s="84"/>
      <c r="N11" s="84"/>
      <c r="O11" s="84"/>
      <c r="P11" s="23" t="s">
        <v>79</v>
      </c>
      <c r="Q11" s="23" t="s">
        <v>60</v>
      </c>
      <c r="R11" s="23">
        <v>3</v>
      </c>
      <c r="S11" s="23">
        <v>3</v>
      </c>
      <c r="T11" s="23">
        <v>0.9</v>
      </c>
      <c r="U11" s="44">
        <f>30</f>
        <v>30</v>
      </c>
    </row>
    <row r="12" spans="1:22" ht="105.75" customHeight="1" thickTop="1" thickBot="1" x14ac:dyDescent="0.25">
      <c r="A12" s="21"/>
      <c r="B12" s="22" t="s">
        <v>34</v>
      </c>
      <c r="C12" s="84" t="s">
        <v>80</v>
      </c>
      <c r="D12" s="84"/>
      <c r="E12" s="84"/>
      <c r="F12" s="84"/>
      <c r="G12" s="84"/>
      <c r="H12" s="84"/>
      <c r="I12" s="84" t="s">
        <v>81</v>
      </c>
      <c r="J12" s="84"/>
      <c r="K12" s="84"/>
      <c r="L12" s="84" t="s">
        <v>82</v>
      </c>
      <c r="M12" s="84"/>
      <c r="N12" s="84"/>
      <c r="O12" s="84"/>
      <c r="P12" s="23" t="s">
        <v>83</v>
      </c>
      <c r="Q12" s="23" t="s">
        <v>60</v>
      </c>
      <c r="R12" s="23">
        <v>1.3</v>
      </c>
      <c r="S12" s="23">
        <v>1.3</v>
      </c>
      <c r="T12" s="23">
        <v>0.81</v>
      </c>
      <c r="U12" s="44">
        <f>137.7</f>
        <v>137.69999999999999</v>
      </c>
    </row>
    <row r="13" spans="1:22" ht="75" customHeight="1" thickTop="1" thickBot="1" x14ac:dyDescent="0.25">
      <c r="A13" s="21"/>
      <c r="B13" s="22" t="s">
        <v>36</v>
      </c>
      <c r="C13" s="84" t="s">
        <v>84</v>
      </c>
      <c r="D13" s="84"/>
      <c r="E13" s="84"/>
      <c r="F13" s="84"/>
      <c r="G13" s="84"/>
      <c r="H13" s="84"/>
      <c r="I13" s="84" t="s">
        <v>85</v>
      </c>
      <c r="J13" s="84"/>
      <c r="K13" s="84"/>
      <c r="L13" s="84" t="s">
        <v>86</v>
      </c>
      <c r="M13" s="84"/>
      <c r="N13" s="84"/>
      <c r="O13" s="84"/>
      <c r="P13" s="23" t="s">
        <v>32</v>
      </c>
      <c r="Q13" s="23" t="s">
        <v>60</v>
      </c>
      <c r="R13" s="23">
        <v>99.31</v>
      </c>
      <c r="S13" s="23">
        <v>99.31</v>
      </c>
      <c r="T13" s="23">
        <v>99.63</v>
      </c>
      <c r="U13" s="44">
        <f>99.67</f>
        <v>99.67</v>
      </c>
    </row>
    <row r="14" spans="1:22" ht="75" customHeight="1" thickTop="1" thickBot="1" x14ac:dyDescent="0.25">
      <c r="A14" s="21"/>
      <c r="B14" s="22" t="s">
        <v>37</v>
      </c>
      <c r="C14" s="84" t="s">
        <v>87</v>
      </c>
      <c r="D14" s="84"/>
      <c r="E14" s="84"/>
      <c r="F14" s="84"/>
      <c r="G14" s="84"/>
      <c r="H14" s="84"/>
      <c r="I14" s="84" t="s">
        <v>88</v>
      </c>
      <c r="J14" s="84"/>
      <c r="K14" s="84"/>
      <c r="L14" s="84" t="s">
        <v>89</v>
      </c>
      <c r="M14" s="84"/>
      <c r="N14" s="84"/>
      <c r="O14" s="84"/>
      <c r="P14" s="23" t="s">
        <v>32</v>
      </c>
      <c r="Q14" s="23" t="s">
        <v>64</v>
      </c>
      <c r="R14" s="23">
        <v>100</v>
      </c>
      <c r="S14" s="23">
        <v>100</v>
      </c>
      <c r="T14" s="23">
        <v>102.32</v>
      </c>
      <c r="U14" s="44">
        <f>102.32</f>
        <v>102.32</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32" t="s">
        <v>26</v>
      </c>
      <c r="T16" s="32"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38"/>
      <c r="F18" s="38"/>
      <c r="G18" s="38"/>
      <c r="H18" s="39"/>
      <c r="I18" s="39"/>
      <c r="J18" s="39"/>
      <c r="K18" s="39"/>
      <c r="L18" s="39"/>
      <c r="M18" s="39"/>
      <c r="N18" s="39"/>
      <c r="O18" s="39"/>
      <c r="P18" s="40"/>
      <c r="Q18" s="40"/>
      <c r="R18" s="40"/>
      <c r="S18" s="45">
        <v>8000.1794200000004</v>
      </c>
      <c r="T18" s="45">
        <v>7723.3736989999998</v>
      </c>
      <c r="U18" s="46">
        <f>+IF(ISERR(T18/S18*100),"N/A",ROUND(T18/S18*100,1))</f>
        <v>96.5</v>
      </c>
    </row>
    <row r="19" spans="2:21" ht="13.5" customHeight="1" thickBot="1" x14ac:dyDescent="0.25">
      <c r="B19" s="93" t="s">
        <v>45</v>
      </c>
      <c r="C19" s="94"/>
      <c r="D19" s="94"/>
      <c r="E19" s="41"/>
      <c r="F19" s="41"/>
      <c r="G19" s="41"/>
      <c r="H19" s="42"/>
      <c r="I19" s="42"/>
      <c r="J19" s="42"/>
      <c r="K19" s="42"/>
      <c r="L19" s="42"/>
      <c r="M19" s="42"/>
      <c r="N19" s="42"/>
      <c r="O19" s="42"/>
      <c r="P19" s="43"/>
      <c r="Q19" s="43"/>
      <c r="R19" s="43"/>
      <c r="S19" s="45">
        <v>7533.6938579999996</v>
      </c>
      <c r="T19" s="45">
        <v>7723.3736989999998</v>
      </c>
      <c r="U19" s="46">
        <f>+IF(ISERR(T19/S19*100),"N/A",ROUND(T19/S19*100,1))</f>
        <v>102.5</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64.5" customHeight="1" x14ac:dyDescent="0.2">
      <c r="B22" s="85" t="s">
        <v>90</v>
      </c>
      <c r="C22" s="86"/>
      <c r="D22" s="86"/>
      <c r="E22" s="86"/>
      <c r="F22" s="86"/>
      <c r="G22" s="86"/>
      <c r="H22" s="86"/>
      <c r="I22" s="86"/>
      <c r="J22" s="86"/>
      <c r="K22" s="86"/>
      <c r="L22" s="86"/>
      <c r="M22" s="86"/>
      <c r="N22" s="86"/>
      <c r="O22" s="86"/>
      <c r="P22" s="86"/>
      <c r="Q22" s="86"/>
      <c r="R22" s="86"/>
      <c r="S22" s="86"/>
      <c r="T22" s="86"/>
      <c r="U22" s="87"/>
    </row>
    <row r="23" spans="2:21" ht="108.95" customHeight="1" x14ac:dyDescent="0.2">
      <c r="B23" s="85" t="s">
        <v>91</v>
      </c>
      <c r="C23" s="86"/>
      <c r="D23" s="86"/>
      <c r="E23" s="86"/>
      <c r="F23" s="86"/>
      <c r="G23" s="86"/>
      <c r="H23" s="86"/>
      <c r="I23" s="86"/>
      <c r="J23" s="86"/>
      <c r="K23" s="86"/>
      <c r="L23" s="86"/>
      <c r="M23" s="86"/>
      <c r="N23" s="86"/>
      <c r="O23" s="86"/>
      <c r="P23" s="86"/>
      <c r="Q23" s="86"/>
      <c r="R23" s="86"/>
      <c r="S23" s="86"/>
      <c r="T23" s="86"/>
      <c r="U23" s="87"/>
    </row>
    <row r="24" spans="2:21" ht="75.75" customHeight="1" x14ac:dyDescent="0.2">
      <c r="B24" s="85" t="s">
        <v>92</v>
      </c>
      <c r="C24" s="86"/>
      <c r="D24" s="86"/>
      <c r="E24" s="86"/>
      <c r="F24" s="86"/>
      <c r="G24" s="86"/>
      <c r="H24" s="86"/>
      <c r="I24" s="86"/>
      <c r="J24" s="86"/>
      <c r="K24" s="86"/>
      <c r="L24" s="86"/>
      <c r="M24" s="86"/>
      <c r="N24" s="86"/>
      <c r="O24" s="86"/>
      <c r="P24" s="86"/>
      <c r="Q24" s="86"/>
      <c r="R24" s="86"/>
      <c r="S24" s="86"/>
      <c r="T24" s="86"/>
      <c r="U24" s="87"/>
    </row>
    <row r="25" spans="2:21" ht="80.25" customHeight="1" thickBot="1" x14ac:dyDescent="0.25">
      <c r="B25" s="88" t="s">
        <v>93</v>
      </c>
      <c r="C25" s="89"/>
      <c r="D25" s="89"/>
      <c r="E25" s="89"/>
      <c r="F25" s="89"/>
      <c r="G25" s="89"/>
      <c r="H25" s="89"/>
      <c r="I25" s="89"/>
      <c r="J25" s="89"/>
      <c r="K25" s="89"/>
      <c r="L25" s="89"/>
      <c r="M25" s="89"/>
      <c r="N25" s="89"/>
      <c r="O25" s="89"/>
      <c r="P25" s="89"/>
      <c r="Q25" s="89"/>
      <c r="R25" s="89"/>
      <c r="S25" s="89"/>
      <c r="T25" s="89"/>
      <c r="U25" s="90"/>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topLeftCell="L10" zoomScale="80" zoomScaleNormal="80" zoomScaleSheetLayoutView="80" workbookViewId="0">
      <selection activeCell="S18" sqref="S18:U19"/>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97.5" customHeight="1" thickTop="1" x14ac:dyDescent="0.2">
      <c r="B4" s="8" t="s">
        <v>5</v>
      </c>
      <c r="C4" s="9" t="s">
        <v>94</v>
      </c>
      <c r="D4" s="58" t="s">
        <v>95</v>
      </c>
      <c r="E4" s="58"/>
      <c r="F4" s="58"/>
      <c r="G4" s="58"/>
      <c r="H4" s="58"/>
      <c r="I4" s="10"/>
      <c r="J4" s="11" t="s">
        <v>6</v>
      </c>
      <c r="K4" s="12" t="s">
        <v>7</v>
      </c>
      <c r="L4" s="59" t="s">
        <v>2</v>
      </c>
      <c r="M4" s="59"/>
      <c r="N4" s="59"/>
      <c r="O4" s="59"/>
      <c r="P4" s="11" t="s">
        <v>8</v>
      </c>
      <c r="Q4" s="59" t="s">
        <v>50</v>
      </c>
      <c r="R4" s="59"/>
      <c r="S4" s="11" t="s">
        <v>9</v>
      </c>
      <c r="T4" s="59"/>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54.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96</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63" t="s">
        <v>18</v>
      </c>
      <c r="C8" s="66" t="s">
        <v>19</v>
      </c>
      <c r="D8" s="66"/>
      <c r="E8" s="66"/>
      <c r="F8" s="66"/>
      <c r="G8" s="66"/>
      <c r="H8" s="67"/>
      <c r="I8" s="72" t="s">
        <v>20</v>
      </c>
      <c r="J8" s="73"/>
      <c r="K8" s="73"/>
      <c r="L8" s="73"/>
      <c r="M8" s="73"/>
      <c r="N8" s="73"/>
      <c r="O8" s="73"/>
      <c r="P8" s="73"/>
      <c r="Q8" s="73"/>
      <c r="R8" s="73"/>
      <c r="S8" s="74"/>
      <c r="T8" s="75" t="s">
        <v>21</v>
      </c>
      <c r="U8" s="76"/>
    </row>
    <row r="9" spans="1:22" ht="19.5" customHeight="1" x14ac:dyDescent="0.2">
      <c r="B9" s="64"/>
      <c r="C9" s="68"/>
      <c r="D9" s="68"/>
      <c r="E9" s="68"/>
      <c r="F9" s="68"/>
      <c r="G9" s="68"/>
      <c r="H9" s="69"/>
      <c r="I9" s="77" t="s">
        <v>22</v>
      </c>
      <c r="J9" s="66"/>
      <c r="K9" s="66"/>
      <c r="L9" s="66" t="s">
        <v>23</v>
      </c>
      <c r="M9" s="66"/>
      <c r="N9" s="66"/>
      <c r="O9" s="66"/>
      <c r="P9" s="66" t="s">
        <v>24</v>
      </c>
      <c r="Q9" s="66" t="s">
        <v>25</v>
      </c>
      <c r="R9" s="80" t="s">
        <v>26</v>
      </c>
      <c r="S9" s="81"/>
      <c r="T9" s="66" t="s">
        <v>27</v>
      </c>
      <c r="U9" s="82" t="s">
        <v>28</v>
      </c>
    </row>
    <row r="10" spans="1:22" ht="26.25" customHeight="1" thickBot="1" x14ac:dyDescent="0.25">
      <c r="B10" s="65"/>
      <c r="C10" s="70"/>
      <c r="D10" s="70"/>
      <c r="E10" s="70"/>
      <c r="F10" s="70"/>
      <c r="G10" s="70"/>
      <c r="H10" s="71"/>
      <c r="I10" s="78"/>
      <c r="J10" s="79"/>
      <c r="K10" s="79"/>
      <c r="L10" s="79"/>
      <c r="M10" s="79"/>
      <c r="N10" s="79"/>
      <c r="O10" s="79"/>
      <c r="P10" s="79"/>
      <c r="Q10" s="79"/>
      <c r="R10" s="19" t="s">
        <v>29</v>
      </c>
      <c r="S10" s="20" t="s">
        <v>30</v>
      </c>
      <c r="T10" s="79"/>
      <c r="U10" s="83"/>
    </row>
    <row r="11" spans="1:22" ht="103.5" customHeight="1" thickTop="1" thickBot="1" x14ac:dyDescent="0.25">
      <c r="A11" s="21"/>
      <c r="B11" s="22" t="s">
        <v>31</v>
      </c>
      <c r="C11" s="84" t="s">
        <v>97</v>
      </c>
      <c r="D11" s="84"/>
      <c r="E11" s="84"/>
      <c r="F11" s="84"/>
      <c r="G11" s="84"/>
      <c r="H11" s="84"/>
      <c r="I11" s="84" t="s">
        <v>98</v>
      </c>
      <c r="J11" s="84"/>
      <c r="K11" s="84"/>
      <c r="L11" s="84" t="s">
        <v>99</v>
      </c>
      <c r="M11" s="84"/>
      <c r="N11" s="84"/>
      <c r="O11" s="84"/>
      <c r="P11" s="23" t="s">
        <v>100</v>
      </c>
      <c r="Q11" s="23" t="s">
        <v>56</v>
      </c>
      <c r="R11" s="23">
        <v>38</v>
      </c>
      <c r="S11" s="23">
        <v>38</v>
      </c>
      <c r="T11" s="23">
        <v>36.4</v>
      </c>
      <c r="U11" s="44">
        <f>104.21</f>
        <v>104.21</v>
      </c>
    </row>
    <row r="12" spans="1:22" ht="96.75" customHeight="1" thickTop="1" thickBot="1" x14ac:dyDescent="0.25">
      <c r="A12" s="21"/>
      <c r="B12" s="22" t="s">
        <v>34</v>
      </c>
      <c r="C12" s="84" t="s">
        <v>101</v>
      </c>
      <c r="D12" s="84"/>
      <c r="E12" s="84"/>
      <c r="F12" s="84"/>
      <c r="G12" s="84"/>
      <c r="H12" s="84"/>
      <c r="I12" s="84" t="s">
        <v>102</v>
      </c>
      <c r="J12" s="84"/>
      <c r="K12" s="84"/>
      <c r="L12" s="84" t="s">
        <v>103</v>
      </c>
      <c r="M12" s="84"/>
      <c r="N12" s="84"/>
      <c r="O12" s="84"/>
      <c r="P12" s="23" t="s">
        <v>104</v>
      </c>
      <c r="Q12" s="23" t="s">
        <v>60</v>
      </c>
      <c r="R12" s="23">
        <v>3.15</v>
      </c>
      <c r="S12" s="23">
        <v>3.15</v>
      </c>
      <c r="T12" s="23">
        <v>2.7</v>
      </c>
      <c r="U12" s="44">
        <f>114.3</f>
        <v>114.3</v>
      </c>
    </row>
    <row r="13" spans="1:22" ht="75" customHeight="1" thickTop="1" thickBot="1" x14ac:dyDescent="0.25">
      <c r="A13" s="21"/>
      <c r="B13" s="22" t="s">
        <v>36</v>
      </c>
      <c r="C13" s="84" t="s">
        <v>105</v>
      </c>
      <c r="D13" s="84"/>
      <c r="E13" s="84"/>
      <c r="F13" s="84"/>
      <c r="G13" s="84"/>
      <c r="H13" s="84"/>
      <c r="I13" s="84" t="s">
        <v>106</v>
      </c>
      <c r="J13" s="84"/>
      <c r="K13" s="84"/>
      <c r="L13" s="84" t="s">
        <v>107</v>
      </c>
      <c r="M13" s="84"/>
      <c r="N13" s="84"/>
      <c r="O13" s="84"/>
      <c r="P13" s="23" t="s">
        <v>108</v>
      </c>
      <c r="Q13" s="23" t="s">
        <v>60</v>
      </c>
      <c r="R13" s="23">
        <v>1.03</v>
      </c>
      <c r="S13" s="23">
        <v>1.03</v>
      </c>
      <c r="T13" s="23">
        <v>1.01</v>
      </c>
      <c r="U13" s="44">
        <f>101.94</f>
        <v>101.94</v>
      </c>
    </row>
    <row r="14" spans="1:22" ht="75" customHeight="1" thickTop="1" thickBot="1" x14ac:dyDescent="0.25">
      <c r="A14" s="21"/>
      <c r="B14" s="22" t="s">
        <v>37</v>
      </c>
      <c r="C14" s="84" t="s">
        <v>109</v>
      </c>
      <c r="D14" s="84"/>
      <c r="E14" s="84"/>
      <c r="F14" s="84"/>
      <c r="G14" s="84"/>
      <c r="H14" s="84"/>
      <c r="I14" s="84" t="s">
        <v>110</v>
      </c>
      <c r="J14" s="84"/>
      <c r="K14" s="84"/>
      <c r="L14" s="84" t="s">
        <v>111</v>
      </c>
      <c r="M14" s="84"/>
      <c r="N14" s="84"/>
      <c r="O14" s="84"/>
      <c r="P14" s="23" t="s">
        <v>32</v>
      </c>
      <c r="Q14" s="23" t="s">
        <v>64</v>
      </c>
      <c r="R14" s="23">
        <v>3.1</v>
      </c>
      <c r="S14" s="23">
        <v>3.1</v>
      </c>
      <c r="T14" s="23">
        <v>3.22</v>
      </c>
      <c r="U14" s="44">
        <f>103.85</f>
        <v>103.85</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32" t="s">
        <v>26</v>
      </c>
      <c r="T16" s="32"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38"/>
      <c r="F18" s="38"/>
      <c r="G18" s="38"/>
      <c r="H18" s="39"/>
      <c r="I18" s="39"/>
      <c r="J18" s="39"/>
      <c r="K18" s="39"/>
      <c r="L18" s="39"/>
      <c r="M18" s="39"/>
      <c r="N18" s="39"/>
      <c r="O18" s="39"/>
      <c r="P18" s="40"/>
      <c r="Q18" s="40"/>
      <c r="R18" s="40"/>
      <c r="S18" s="45">
        <v>37217.692204999999</v>
      </c>
      <c r="T18" s="45">
        <v>39129.391176999998</v>
      </c>
      <c r="U18" s="46">
        <f>+IF(ISERR(T18/S18*100),"N/A",ROUND(T18/S18*100,1))</f>
        <v>105.1</v>
      </c>
    </row>
    <row r="19" spans="2:21" ht="13.5" customHeight="1" thickBot="1" x14ac:dyDescent="0.25">
      <c r="B19" s="93" t="s">
        <v>45</v>
      </c>
      <c r="C19" s="94"/>
      <c r="D19" s="94"/>
      <c r="E19" s="41"/>
      <c r="F19" s="41"/>
      <c r="G19" s="41"/>
      <c r="H19" s="42"/>
      <c r="I19" s="42"/>
      <c r="J19" s="42"/>
      <c r="K19" s="42"/>
      <c r="L19" s="42"/>
      <c r="M19" s="42"/>
      <c r="N19" s="42"/>
      <c r="O19" s="42"/>
      <c r="P19" s="43"/>
      <c r="Q19" s="43"/>
      <c r="R19" s="43"/>
      <c r="S19" s="45">
        <v>38587.363943999997</v>
      </c>
      <c r="T19" s="45">
        <v>39129.391176999998</v>
      </c>
      <c r="U19" s="46">
        <f>+IF(ISERR(T19/S19*100),"N/A",ROUND(T19/S19*100,1))</f>
        <v>101.4</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121.7" customHeight="1" x14ac:dyDescent="0.2">
      <c r="B22" s="85" t="s">
        <v>112</v>
      </c>
      <c r="C22" s="86"/>
      <c r="D22" s="86"/>
      <c r="E22" s="86"/>
      <c r="F22" s="86"/>
      <c r="G22" s="86"/>
      <c r="H22" s="86"/>
      <c r="I22" s="86"/>
      <c r="J22" s="86"/>
      <c r="K22" s="86"/>
      <c r="L22" s="86"/>
      <c r="M22" s="86"/>
      <c r="N22" s="86"/>
      <c r="O22" s="86"/>
      <c r="P22" s="86"/>
      <c r="Q22" s="86"/>
      <c r="R22" s="86"/>
      <c r="S22" s="86"/>
      <c r="T22" s="86"/>
      <c r="U22" s="87"/>
    </row>
    <row r="23" spans="2:21" ht="115.35" customHeight="1" x14ac:dyDescent="0.2">
      <c r="B23" s="85" t="s">
        <v>113</v>
      </c>
      <c r="C23" s="86"/>
      <c r="D23" s="86"/>
      <c r="E23" s="86"/>
      <c r="F23" s="86"/>
      <c r="G23" s="86"/>
      <c r="H23" s="86"/>
      <c r="I23" s="86"/>
      <c r="J23" s="86"/>
      <c r="K23" s="86"/>
      <c r="L23" s="86"/>
      <c r="M23" s="86"/>
      <c r="N23" s="86"/>
      <c r="O23" s="86"/>
      <c r="P23" s="86"/>
      <c r="Q23" s="86"/>
      <c r="R23" s="86"/>
      <c r="S23" s="86"/>
      <c r="T23" s="86"/>
      <c r="U23" s="87"/>
    </row>
    <row r="24" spans="2:21" ht="98.25" customHeight="1" x14ac:dyDescent="0.2">
      <c r="B24" s="85" t="s">
        <v>114</v>
      </c>
      <c r="C24" s="86"/>
      <c r="D24" s="86"/>
      <c r="E24" s="86"/>
      <c r="F24" s="86"/>
      <c r="G24" s="86"/>
      <c r="H24" s="86"/>
      <c r="I24" s="86"/>
      <c r="J24" s="86"/>
      <c r="K24" s="86"/>
      <c r="L24" s="86"/>
      <c r="M24" s="86"/>
      <c r="N24" s="86"/>
      <c r="O24" s="86"/>
      <c r="P24" s="86"/>
      <c r="Q24" s="86"/>
      <c r="R24" s="86"/>
      <c r="S24" s="86"/>
      <c r="T24" s="86"/>
      <c r="U24" s="87"/>
    </row>
    <row r="25" spans="2:21" ht="140.25" customHeight="1" thickBot="1" x14ac:dyDescent="0.25">
      <c r="B25" s="88" t="s">
        <v>115</v>
      </c>
      <c r="C25" s="89"/>
      <c r="D25" s="89"/>
      <c r="E25" s="89"/>
      <c r="F25" s="89"/>
      <c r="G25" s="89"/>
      <c r="H25" s="89"/>
      <c r="I25" s="89"/>
      <c r="J25" s="89"/>
      <c r="K25" s="89"/>
      <c r="L25" s="89"/>
      <c r="M25" s="89"/>
      <c r="N25" s="89"/>
      <c r="O25" s="89"/>
      <c r="P25" s="89"/>
      <c r="Q25" s="89"/>
      <c r="R25" s="89"/>
      <c r="S25" s="89"/>
      <c r="T25" s="89"/>
      <c r="U25" s="90"/>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32"/>
  <sheetViews>
    <sheetView view="pageBreakPreview" topLeftCell="L13" zoomScale="80" zoomScaleNormal="80" zoomScaleSheetLayoutView="80" workbookViewId="0">
      <selection activeCell="S22" sqref="S22:U23"/>
    </sheetView>
  </sheetViews>
  <sheetFormatPr baseColWidth="10" defaultColWidth="10" defaultRowHeight="12.75" x14ac:dyDescent="0.2"/>
  <cols>
    <col min="1" max="1" width="3.5" style="1" customWidth="1"/>
    <col min="2" max="2" width="14.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75" style="1" customWidth="1"/>
    <col min="19" max="19" width="13" style="1" customWidth="1"/>
    <col min="20" max="20" width="10.75" style="1" customWidth="1"/>
    <col min="21"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1" t="s">
        <v>0</v>
      </c>
      <c r="C1" s="51"/>
      <c r="D1" s="51"/>
      <c r="E1" s="51"/>
      <c r="F1" s="51"/>
      <c r="G1" s="51"/>
      <c r="H1" s="51"/>
      <c r="I1" s="51"/>
      <c r="J1" s="51"/>
      <c r="K1" s="51"/>
      <c r="L1" s="51"/>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75.75" customHeight="1" thickTop="1" x14ac:dyDescent="0.2">
      <c r="B4" s="8" t="s">
        <v>5</v>
      </c>
      <c r="C4" s="9" t="s">
        <v>117</v>
      </c>
      <c r="D4" s="58" t="s">
        <v>118</v>
      </c>
      <c r="E4" s="58"/>
      <c r="F4" s="58"/>
      <c r="G4" s="58"/>
      <c r="H4" s="58"/>
      <c r="I4" s="10"/>
      <c r="J4" s="11" t="s">
        <v>6</v>
      </c>
      <c r="K4" s="12" t="s">
        <v>7</v>
      </c>
      <c r="L4" s="59" t="s">
        <v>2</v>
      </c>
      <c r="M4" s="59"/>
      <c r="N4" s="59"/>
      <c r="O4" s="59"/>
      <c r="P4" s="11" t="s">
        <v>8</v>
      </c>
      <c r="Q4" s="59" t="s">
        <v>50</v>
      </c>
      <c r="R4" s="59"/>
      <c r="S4" s="11" t="s">
        <v>9</v>
      </c>
      <c r="T4" s="59"/>
      <c r="U4" s="60"/>
    </row>
    <row r="5" spans="1:21" ht="15.75" customHeight="1" x14ac:dyDescent="0.2">
      <c r="B5" s="55" t="s">
        <v>10</v>
      </c>
      <c r="C5" s="56"/>
      <c r="D5" s="56"/>
      <c r="E5" s="56"/>
      <c r="F5" s="56"/>
      <c r="G5" s="56"/>
      <c r="H5" s="56"/>
      <c r="I5" s="56"/>
      <c r="J5" s="56"/>
      <c r="K5" s="56"/>
      <c r="L5" s="56"/>
      <c r="M5" s="56"/>
      <c r="N5" s="56"/>
      <c r="O5" s="56"/>
      <c r="P5" s="56"/>
      <c r="Q5" s="56"/>
      <c r="R5" s="56"/>
      <c r="S5" s="56"/>
      <c r="T5" s="56"/>
      <c r="U5" s="57"/>
    </row>
    <row r="6" spans="1:21"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119</v>
      </c>
      <c r="U6" s="62"/>
    </row>
    <row r="7" spans="1:21" ht="14.25" customHeight="1" thickTop="1" thickBot="1" x14ac:dyDescent="0.25">
      <c r="B7" s="4" t="s">
        <v>17</v>
      </c>
      <c r="C7" s="5"/>
      <c r="D7" s="5"/>
      <c r="E7" s="5"/>
      <c r="F7" s="5"/>
      <c r="G7" s="5"/>
      <c r="H7" s="6"/>
      <c r="I7" s="6"/>
      <c r="J7" s="6"/>
      <c r="K7" s="6"/>
      <c r="L7" s="6"/>
      <c r="M7" s="6"/>
      <c r="N7" s="6"/>
      <c r="O7" s="6"/>
      <c r="P7" s="6"/>
      <c r="Q7" s="6"/>
      <c r="R7" s="6"/>
      <c r="S7" s="6"/>
      <c r="T7" s="6"/>
      <c r="U7" s="7"/>
    </row>
    <row r="8" spans="1:21" ht="16.5" customHeight="1" thickTop="1" x14ac:dyDescent="0.2">
      <c r="B8" s="63" t="s">
        <v>18</v>
      </c>
      <c r="C8" s="66" t="s">
        <v>19</v>
      </c>
      <c r="D8" s="66"/>
      <c r="E8" s="66"/>
      <c r="F8" s="66"/>
      <c r="G8" s="66"/>
      <c r="H8" s="67"/>
      <c r="I8" s="72" t="s">
        <v>20</v>
      </c>
      <c r="J8" s="73"/>
      <c r="K8" s="73"/>
      <c r="L8" s="73"/>
      <c r="M8" s="73"/>
      <c r="N8" s="73"/>
      <c r="O8" s="73"/>
      <c r="P8" s="73"/>
      <c r="Q8" s="73"/>
      <c r="R8" s="73"/>
      <c r="S8" s="74"/>
      <c r="T8" s="75" t="s">
        <v>21</v>
      </c>
      <c r="U8" s="76"/>
    </row>
    <row r="9" spans="1:21" ht="19.5" customHeight="1" x14ac:dyDescent="0.2">
      <c r="B9" s="64"/>
      <c r="C9" s="68"/>
      <c r="D9" s="68"/>
      <c r="E9" s="68"/>
      <c r="F9" s="68"/>
      <c r="G9" s="68"/>
      <c r="H9" s="69"/>
      <c r="I9" s="77" t="s">
        <v>22</v>
      </c>
      <c r="J9" s="66"/>
      <c r="K9" s="66"/>
      <c r="L9" s="66" t="s">
        <v>23</v>
      </c>
      <c r="M9" s="66"/>
      <c r="N9" s="66"/>
      <c r="O9" s="66"/>
      <c r="P9" s="66" t="s">
        <v>24</v>
      </c>
      <c r="Q9" s="66" t="s">
        <v>25</v>
      </c>
      <c r="R9" s="80" t="s">
        <v>26</v>
      </c>
      <c r="S9" s="81"/>
      <c r="T9" s="66" t="s">
        <v>27</v>
      </c>
      <c r="U9" s="82" t="s">
        <v>28</v>
      </c>
    </row>
    <row r="10" spans="1:21" ht="26.25" customHeight="1" thickBot="1" x14ac:dyDescent="0.25">
      <c r="B10" s="65"/>
      <c r="C10" s="70"/>
      <c r="D10" s="70"/>
      <c r="E10" s="70"/>
      <c r="F10" s="70"/>
      <c r="G10" s="70"/>
      <c r="H10" s="71"/>
      <c r="I10" s="78"/>
      <c r="J10" s="79"/>
      <c r="K10" s="79"/>
      <c r="L10" s="79"/>
      <c r="M10" s="79"/>
      <c r="N10" s="79"/>
      <c r="O10" s="79"/>
      <c r="P10" s="79"/>
      <c r="Q10" s="79"/>
      <c r="R10" s="19" t="s">
        <v>29</v>
      </c>
      <c r="S10" s="20" t="s">
        <v>30</v>
      </c>
      <c r="T10" s="79"/>
      <c r="U10" s="83"/>
    </row>
    <row r="11" spans="1:21" ht="75" customHeight="1" thickTop="1" thickBot="1" x14ac:dyDescent="0.25">
      <c r="A11" s="21"/>
      <c r="B11" s="22" t="s">
        <v>31</v>
      </c>
      <c r="C11" s="84" t="s">
        <v>120</v>
      </c>
      <c r="D11" s="84"/>
      <c r="E11" s="84"/>
      <c r="F11" s="84"/>
      <c r="G11" s="84"/>
      <c r="H11" s="84"/>
      <c r="I11" s="84" t="s">
        <v>121</v>
      </c>
      <c r="J11" s="84"/>
      <c r="K11" s="84"/>
      <c r="L11" s="84" t="s">
        <v>122</v>
      </c>
      <c r="M11" s="84"/>
      <c r="N11" s="84"/>
      <c r="O11" s="84"/>
      <c r="P11" s="23" t="s">
        <v>104</v>
      </c>
      <c r="Q11" s="23" t="s">
        <v>33</v>
      </c>
      <c r="R11" s="23">
        <v>3.15</v>
      </c>
      <c r="S11" s="23">
        <v>3.15</v>
      </c>
      <c r="T11" s="23">
        <v>2.7</v>
      </c>
      <c r="U11" s="44">
        <f>114.3</f>
        <v>114.3</v>
      </c>
    </row>
    <row r="12" spans="1:21" ht="78.75" customHeight="1" thickTop="1" thickBot="1" x14ac:dyDescent="0.25">
      <c r="A12" s="21"/>
      <c r="B12" s="22" t="s">
        <v>34</v>
      </c>
      <c r="C12" s="84" t="s">
        <v>123</v>
      </c>
      <c r="D12" s="84"/>
      <c r="E12" s="84"/>
      <c r="F12" s="84"/>
      <c r="G12" s="84"/>
      <c r="H12" s="84"/>
      <c r="I12" s="84" t="s">
        <v>124</v>
      </c>
      <c r="J12" s="84"/>
      <c r="K12" s="84"/>
      <c r="L12" s="84" t="s">
        <v>99</v>
      </c>
      <c r="M12" s="84"/>
      <c r="N12" s="84"/>
      <c r="O12" s="84"/>
      <c r="P12" s="23" t="s">
        <v>125</v>
      </c>
      <c r="Q12" s="23" t="s">
        <v>33</v>
      </c>
      <c r="R12" s="23">
        <v>38</v>
      </c>
      <c r="S12" s="23">
        <v>38</v>
      </c>
      <c r="T12" s="23">
        <v>36.4</v>
      </c>
      <c r="U12" s="44">
        <f>104.21</f>
        <v>104.21</v>
      </c>
    </row>
    <row r="13" spans="1:21" ht="75" customHeight="1" thickTop="1" x14ac:dyDescent="0.2">
      <c r="A13" s="21"/>
      <c r="B13" s="22" t="s">
        <v>36</v>
      </c>
      <c r="C13" s="84" t="s">
        <v>126</v>
      </c>
      <c r="D13" s="84"/>
      <c r="E13" s="84"/>
      <c r="F13" s="84"/>
      <c r="G13" s="84"/>
      <c r="H13" s="84"/>
      <c r="I13" s="84" t="s">
        <v>127</v>
      </c>
      <c r="J13" s="84"/>
      <c r="K13" s="84"/>
      <c r="L13" s="84" t="s">
        <v>128</v>
      </c>
      <c r="M13" s="84"/>
      <c r="N13" s="84"/>
      <c r="O13" s="84"/>
      <c r="P13" s="23" t="s">
        <v>32</v>
      </c>
      <c r="Q13" s="23" t="s">
        <v>129</v>
      </c>
      <c r="R13" s="23">
        <v>50</v>
      </c>
      <c r="S13" s="23">
        <v>50</v>
      </c>
      <c r="T13" s="23">
        <v>40.590000000000003</v>
      </c>
      <c r="U13" s="44">
        <f>81.18</f>
        <v>81.180000000000007</v>
      </c>
    </row>
    <row r="14" spans="1:21" ht="75" customHeight="1" x14ac:dyDescent="0.2">
      <c r="A14" s="21"/>
      <c r="B14" s="24" t="s">
        <v>35</v>
      </c>
      <c r="C14" s="98" t="s">
        <v>35</v>
      </c>
      <c r="D14" s="98"/>
      <c r="E14" s="98"/>
      <c r="F14" s="98"/>
      <c r="G14" s="98"/>
      <c r="H14" s="98"/>
      <c r="I14" s="98" t="s">
        <v>130</v>
      </c>
      <c r="J14" s="98"/>
      <c r="K14" s="98"/>
      <c r="L14" s="98" t="s">
        <v>131</v>
      </c>
      <c r="M14" s="98"/>
      <c r="N14" s="98"/>
      <c r="O14" s="98"/>
      <c r="P14" s="25" t="s">
        <v>32</v>
      </c>
      <c r="Q14" s="25" t="s">
        <v>132</v>
      </c>
      <c r="R14" s="25">
        <v>100</v>
      </c>
      <c r="S14" s="25">
        <v>100</v>
      </c>
      <c r="T14" s="25">
        <v>100</v>
      </c>
      <c r="U14" s="26">
        <f>100</f>
        <v>100</v>
      </c>
    </row>
    <row r="15" spans="1:21" ht="75" customHeight="1" thickBot="1" x14ac:dyDescent="0.25">
      <c r="A15" s="21"/>
      <c r="B15" s="24" t="s">
        <v>35</v>
      </c>
      <c r="C15" s="98" t="s">
        <v>35</v>
      </c>
      <c r="D15" s="98"/>
      <c r="E15" s="98"/>
      <c r="F15" s="98"/>
      <c r="G15" s="98"/>
      <c r="H15" s="98"/>
      <c r="I15" s="98" t="s">
        <v>133</v>
      </c>
      <c r="J15" s="98"/>
      <c r="K15" s="98"/>
      <c r="L15" s="98" t="s">
        <v>134</v>
      </c>
      <c r="M15" s="98"/>
      <c r="N15" s="98"/>
      <c r="O15" s="98"/>
      <c r="P15" s="25" t="s">
        <v>135</v>
      </c>
      <c r="Q15" s="25" t="s">
        <v>132</v>
      </c>
      <c r="R15" s="25">
        <v>3.1</v>
      </c>
      <c r="S15" s="25">
        <v>3.1</v>
      </c>
      <c r="T15" s="25">
        <v>3.22</v>
      </c>
      <c r="U15" s="26">
        <f>103.85</f>
        <v>103.85</v>
      </c>
    </row>
    <row r="16" spans="1:21" ht="105" customHeight="1" thickTop="1" x14ac:dyDescent="0.2">
      <c r="A16" s="21"/>
      <c r="B16" s="22" t="s">
        <v>37</v>
      </c>
      <c r="C16" s="84" t="s">
        <v>136</v>
      </c>
      <c r="D16" s="84"/>
      <c r="E16" s="84"/>
      <c r="F16" s="84"/>
      <c r="G16" s="84"/>
      <c r="H16" s="84"/>
      <c r="I16" s="84" t="s">
        <v>137</v>
      </c>
      <c r="J16" s="84"/>
      <c r="K16" s="84"/>
      <c r="L16" s="84" t="s">
        <v>138</v>
      </c>
      <c r="M16" s="84"/>
      <c r="N16" s="84"/>
      <c r="O16" s="84"/>
      <c r="P16" s="23" t="s">
        <v>32</v>
      </c>
      <c r="Q16" s="23" t="s">
        <v>38</v>
      </c>
      <c r="R16" s="23">
        <v>85</v>
      </c>
      <c r="S16" s="23">
        <v>90</v>
      </c>
      <c r="T16" s="23">
        <v>82</v>
      </c>
      <c r="U16" s="44">
        <f>91</f>
        <v>91</v>
      </c>
    </row>
    <row r="17" spans="1:22" ht="75" customHeight="1" x14ac:dyDescent="0.2">
      <c r="A17" s="21"/>
      <c r="B17" s="24" t="s">
        <v>35</v>
      </c>
      <c r="C17" s="98" t="s">
        <v>35</v>
      </c>
      <c r="D17" s="98"/>
      <c r="E17" s="98"/>
      <c r="F17" s="98"/>
      <c r="G17" s="98"/>
      <c r="H17" s="98"/>
      <c r="I17" s="98" t="s">
        <v>139</v>
      </c>
      <c r="J17" s="98"/>
      <c r="K17" s="98"/>
      <c r="L17" s="98" t="s">
        <v>140</v>
      </c>
      <c r="M17" s="98"/>
      <c r="N17" s="98"/>
      <c r="O17" s="98"/>
      <c r="P17" s="25" t="s">
        <v>32</v>
      </c>
      <c r="Q17" s="25" t="s">
        <v>116</v>
      </c>
      <c r="R17" s="25">
        <v>80</v>
      </c>
      <c r="S17" s="25">
        <v>80</v>
      </c>
      <c r="T17" s="25">
        <v>82</v>
      </c>
      <c r="U17" s="26">
        <f>102</f>
        <v>102</v>
      </c>
    </row>
    <row r="18" spans="1:22" ht="75" customHeight="1" thickBot="1" x14ac:dyDescent="0.25">
      <c r="A18" s="21"/>
      <c r="B18" s="24" t="s">
        <v>35</v>
      </c>
      <c r="C18" s="98" t="s">
        <v>35</v>
      </c>
      <c r="D18" s="98"/>
      <c r="E18" s="98"/>
      <c r="F18" s="98"/>
      <c r="G18" s="98"/>
      <c r="H18" s="98"/>
      <c r="I18" s="98" t="s">
        <v>141</v>
      </c>
      <c r="J18" s="98"/>
      <c r="K18" s="98"/>
      <c r="L18" s="98" t="s">
        <v>142</v>
      </c>
      <c r="M18" s="98"/>
      <c r="N18" s="98"/>
      <c r="O18" s="98"/>
      <c r="P18" s="25" t="s">
        <v>32</v>
      </c>
      <c r="Q18" s="25" t="s">
        <v>143</v>
      </c>
      <c r="R18" s="25">
        <v>85</v>
      </c>
      <c r="S18" s="25">
        <v>85</v>
      </c>
      <c r="T18" s="25">
        <v>95</v>
      </c>
      <c r="U18" s="26">
        <f>111</f>
        <v>111</v>
      </c>
    </row>
    <row r="19" spans="1:22" ht="14.25" customHeight="1" thickTop="1" thickBot="1" x14ac:dyDescent="0.25">
      <c r="B19" s="4" t="s">
        <v>39</v>
      </c>
      <c r="C19" s="5"/>
      <c r="D19" s="5"/>
      <c r="E19" s="5"/>
      <c r="F19" s="5"/>
      <c r="G19" s="5"/>
      <c r="H19" s="6"/>
      <c r="I19" s="6"/>
      <c r="J19" s="6"/>
      <c r="K19" s="6"/>
      <c r="L19" s="6"/>
      <c r="M19" s="6"/>
      <c r="N19" s="6"/>
      <c r="O19" s="6"/>
      <c r="P19" s="6"/>
      <c r="Q19" s="6"/>
      <c r="R19" s="6"/>
      <c r="S19" s="6"/>
      <c r="T19" s="6"/>
      <c r="U19" s="7"/>
      <c r="V19" s="27"/>
    </row>
    <row r="20" spans="1:22" ht="26.25" customHeight="1" thickTop="1" x14ac:dyDescent="0.2">
      <c r="B20" s="28"/>
      <c r="C20" s="29"/>
      <c r="D20" s="29"/>
      <c r="E20" s="29"/>
      <c r="F20" s="29"/>
      <c r="G20" s="29"/>
      <c r="H20" s="30"/>
      <c r="I20" s="30"/>
      <c r="J20" s="30"/>
      <c r="K20" s="30"/>
      <c r="L20" s="30"/>
      <c r="M20" s="30"/>
      <c r="N20" s="30"/>
      <c r="O20" s="30"/>
      <c r="P20" s="30"/>
      <c r="Q20" s="30"/>
      <c r="R20" s="31"/>
      <c r="S20" s="32" t="s">
        <v>26</v>
      </c>
      <c r="T20" s="32" t="s">
        <v>40</v>
      </c>
      <c r="U20" s="18" t="s">
        <v>41</v>
      </c>
    </row>
    <row r="21" spans="1:22" ht="26.25" customHeight="1" thickBot="1" x14ac:dyDescent="0.25">
      <c r="B21" s="33"/>
      <c r="C21" s="34"/>
      <c r="D21" s="34"/>
      <c r="E21" s="34"/>
      <c r="F21" s="34"/>
      <c r="G21" s="34"/>
      <c r="H21" s="35"/>
      <c r="I21" s="35"/>
      <c r="J21" s="35"/>
      <c r="K21" s="35"/>
      <c r="L21" s="35"/>
      <c r="M21" s="35"/>
      <c r="N21" s="35"/>
      <c r="O21" s="35"/>
      <c r="P21" s="35"/>
      <c r="Q21" s="35"/>
      <c r="R21" s="35"/>
      <c r="S21" s="36" t="s">
        <v>42</v>
      </c>
      <c r="T21" s="37" t="s">
        <v>42</v>
      </c>
      <c r="U21" s="37" t="s">
        <v>43</v>
      </c>
    </row>
    <row r="22" spans="1:22" ht="13.5" customHeight="1" thickBot="1" x14ac:dyDescent="0.25">
      <c r="B22" s="91" t="s">
        <v>44</v>
      </c>
      <c r="C22" s="92"/>
      <c r="D22" s="92"/>
      <c r="E22" s="38"/>
      <c r="F22" s="38"/>
      <c r="G22" s="38"/>
      <c r="H22" s="39"/>
      <c r="I22" s="39"/>
      <c r="J22" s="39"/>
      <c r="K22" s="39"/>
      <c r="L22" s="39"/>
      <c r="M22" s="39"/>
      <c r="N22" s="39"/>
      <c r="O22" s="39"/>
      <c r="P22" s="40"/>
      <c r="Q22" s="40"/>
      <c r="R22" s="40"/>
      <c r="S22" s="45">
        <v>17163.446231000002</v>
      </c>
      <c r="T22" s="45">
        <v>10724.726576999999</v>
      </c>
      <c r="U22" s="46">
        <f>+IF(ISERR(T22/S22*100),"N/A",ROUND(T22/S22*100,1))</f>
        <v>62.5</v>
      </c>
    </row>
    <row r="23" spans="1:22" ht="13.5" customHeight="1" thickBot="1" x14ac:dyDescent="0.25">
      <c r="B23" s="93" t="s">
        <v>45</v>
      </c>
      <c r="C23" s="94"/>
      <c r="D23" s="94"/>
      <c r="E23" s="41"/>
      <c r="F23" s="41"/>
      <c r="G23" s="41"/>
      <c r="H23" s="42"/>
      <c r="I23" s="42"/>
      <c r="J23" s="42"/>
      <c r="K23" s="42"/>
      <c r="L23" s="42"/>
      <c r="M23" s="42"/>
      <c r="N23" s="42"/>
      <c r="O23" s="42"/>
      <c r="P23" s="43"/>
      <c r="Q23" s="43"/>
      <c r="R23" s="43"/>
      <c r="S23" s="45">
        <v>10724.726576999999</v>
      </c>
      <c r="T23" s="45">
        <v>10724.726576999999</v>
      </c>
      <c r="U23" s="46">
        <f>+IF(ISERR(T23/S23*100),"N/A",ROUND(T23/S23*100,1))</f>
        <v>100</v>
      </c>
    </row>
    <row r="24" spans="1:22" ht="14.85" customHeight="1" thickTop="1" thickBot="1" x14ac:dyDescent="0.25">
      <c r="B24" s="4" t="s">
        <v>46</v>
      </c>
      <c r="C24" s="5"/>
      <c r="D24" s="5"/>
      <c r="E24" s="5"/>
      <c r="F24" s="5"/>
      <c r="G24" s="5"/>
      <c r="H24" s="6"/>
      <c r="I24" s="6"/>
      <c r="J24" s="6"/>
      <c r="K24" s="6"/>
      <c r="L24" s="6"/>
      <c r="M24" s="6"/>
      <c r="N24" s="6"/>
      <c r="O24" s="6"/>
      <c r="P24" s="6"/>
      <c r="Q24" s="6"/>
      <c r="R24" s="6"/>
      <c r="S24" s="6"/>
      <c r="T24" s="6"/>
      <c r="U24" s="7"/>
    </row>
    <row r="25" spans="1:22" ht="44.25" customHeight="1" thickTop="1" x14ac:dyDescent="0.2">
      <c r="B25" s="95" t="s">
        <v>47</v>
      </c>
      <c r="C25" s="96"/>
      <c r="D25" s="96"/>
      <c r="E25" s="96"/>
      <c r="F25" s="96"/>
      <c r="G25" s="96"/>
      <c r="H25" s="96"/>
      <c r="I25" s="96"/>
      <c r="J25" s="96"/>
      <c r="K25" s="96"/>
      <c r="L25" s="96"/>
      <c r="M25" s="96"/>
      <c r="N25" s="96"/>
      <c r="O25" s="96"/>
      <c r="P25" s="96"/>
      <c r="Q25" s="96"/>
      <c r="R25" s="96"/>
      <c r="S25" s="96"/>
      <c r="T25" s="96"/>
      <c r="U25" s="97"/>
    </row>
    <row r="26" spans="1:22" ht="126" customHeight="1" x14ac:dyDescent="0.2">
      <c r="B26" s="85" t="s">
        <v>144</v>
      </c>
      <c r="C26" s="86"/>
      <c r="D26" s="86"/>
      <c r="E26" s="86"/>
      <c r="F26" s="86"/>
      <c r="G26" s="86"/>
      <c r="H26" s="86"/>
      <c r="I26" s="86"/>
      <c r="J26" s="86"/>
      <c r="K26" s="86"/>
      <c r="L26" s="86"/>
      <c r="M26" s="86"/>
      <c r="N26" s="86"/>
      <c r="O26" s="86"/>
      <c r="P26" s="86"/>
      <c r="Q26" s="86"/>
      <c r="R26" s="86"/>
      <c r="S26" s="86"/>
      <c r="T26" s="86"/>
      <c r="U26" s="87"/>
    </row>
    <row r="27" spans="1:22" ht="119.85" customHeight="1" x14ac:dyDescent="0.2">
      <c r="B27" s="85" t="s">
        <v>145</v>
      </c>
      <c r="C27" s="86"/>
      <c r="D27" s="86"/>
      <c r="E27" s="86"/>
      <c r="F27" s="86"/>
      <c r="G27" s="86"/>
      <c r="H27" s="86"/>
      <c r="I27" s="86"/>
      <c r="J27" s="86"/>
      <c r="K27" s="86"/>
      <c r="L27" s="86"/>
      <c r="M27" s="86"/>
      <c r="N27" s="86"/>
      <c r="O27" s="86"/>
      <c r="P27" s="86"/>
      <c r="Q27" s="86"/>
      <c r="R27" s="86"/>
      <c r="S27" s="86"/>
      <c r="T27" s="86"/>
      <c r="U27" s="87"/>
    </row>
    <row r="28" spans="1:22" ht="47.25" customHeight="1" x14ac:dyDescent="0.2">
      <c r="B28" s="85" t="s">
        <v>146</v>
      </c>
      <c r="C28" s="86"/>
      <c r="D28" s="86"/>
      <c r="E28" s="86"/>
      <c r="F28" s="86"/>
      <c r="G28" s="86"/>
      <c r="H28" s="86"/>
      <c r="I28" s="86"/>
      <c r="J28" s="86"/>
      <c r="K28" s="86"/>
      <c r="L28" s="86"/>
      <c r="M28" s="86"/>
      <c r="N28" s="86"/>
      <c r="O28" s="86"/>
      <c r="P28" s="86"/>
      <c r="Q28" s="86"/>
      <c r="R28" s="86"/>
      <c r="S28" s="86"/>
      <c r="T28" s="86"/>
      <c r="U28" s="87"/>
    </row>
    <row r="29" spans="1:22" ht="53.25" customHeight="1" x14ac:dyDescent="0.2">
      <c r="B29" s="85" t="s">
        <v>147</v>
      </c>
      <c r="C29" s="86"/>
      <c r="D29" s="86"/>
      <c r="E29" s="86"/>
      <c r="F29" s="86"/>
      <c r="G29" s="86"/>
      <c r="H29" s="86"/>
      <c r="I29" s="86"/>
      <c r="J29" s="86"/>
      <c r="K29" s="86"/>
      <c r="L29" s="86"/>
      <c r="M29" s="86"/>
      <c r="N29" s="86"/>
      <c r="O29" s="86"/>
      <c r="P29" s="86"/>
      <c r="Q29" s="86"/>
      <c r="R29" s="86"/>
      <c r="S29" s="86"/>
      <c r="T29" s="86"/>
      <c r="U29" s="87"/>
    </row>
    <row r="30" spans="1:22" ht="41.25" customHeight="1" x14ac:dyDescent="0.2">
      <c r="B30" s="85" t="s">
        <v>148</v>
      </c>
      <c r="C30" s="86"/>
      <c r="D30" s="86"/>
      <c r="E30" s="86"/>
      <c r="F30" s="86"/>
      <c r="G30" s="86"/>
      <c r="H30" s="86"/>
      <c r="I30" s="86"/>
      <c r="J30" s="86"/>
      <c r="K30" s="86"/>
      <c r="L30" s="86"/>
      <c r="M30" s="86"/>
      <c r="N30" s="86"/>
      <c r="O30" s="86"/>
      <c r="P30" s="86"/>
      <c r="Q30" s="86"/>
      <c r="R30" s="86"/>
      <c r="S30" s="86"/>
      <c r="T30" s="86"/>
      <c r="U30" s="87"/>
    </row>
    <row r="31" spans="1:22" ht="50.25" customHeight="1" x14ac:dyDescent="0.2">
      <c r="B31" s="85" t="s">
        <v>149</v>
      </c>
      <c r="C31" s="86"/>
      <c r="D31" s="86"/>
      <c r="E31" s="86"/>
      <c r="F31" s="86"/>
      <c r="G31" s="86"/>
      <c r="H31" s="86"/>
      <c r="I31" s="86"/>
      <c r="J31" s="86"/>
      <c r="K31" s="86"/>
      <c r="L31" s="86"/>
      <c r="M31" s="86"/>
      <c r="N31" s="86"/>
      <c r="O31" s="86"/>
      <c r="P31" s="86"/>
      <c r="Q31" s="86"/>
      <c r="R31" s="86"/>
      <c r="S31" s="86"/>
      <c r="T31" s="86"/>
      <c r="U31" s="87"/>
    </row>
    <row r="32" spans="1:22" ht="36" customHeight="1" thickBot="1" x14ac:dyDescent="0.25">
      <c r="B32" s="88" t="s">
        <v>150</v>
      </c>
      <c r="C32" s="89"/>
      <c r="D32" s="89"/>
      <c r="E32" s="89"/>
      <c r="F32" s="89"/>
      <c r="G32" s="89"/>
      <c r="H32" s="89"/>
      <c r="I32" s="89"/>
      <c r="J32" s="89"/>
      <c r="K32" s="89"/>
      <c r="L32" s="89"/>
      <c r="M32" s="89"/>
      <c r="N32" s="89"/>
      <c r="O32" s="89"/>
      <c r="P32" s="89"/>
      <c r="Q32" s="89"/>
      <c r="R32" s="89"/>
      <c r="S32" s="89"/>
      <c r="T32" s="89"/>
      <c r="U32" s="90"/>
    </row>
  </sheetData>
  <mergeCells count="55">
    <mergeCell ref="B31:U31"/>
    <mergeCell ref="B32:U32"/>
    <mergeCell ref="B26:U26"/>
    <mergeCell ref="B27:U27"/>
    <mergeCell ref="B28:U28"/>
    <mergeCell ref="B29:U29"/>
    <mergeCell ref="B30:U30"/>
    <mergeCell ref="B25:U25"/>
    <mergeCell ref="C16:H16"/>
    <mergeCell ref="I16:K16"/>
    <mergeCell ref="L16:O16"/>
    <mergeCell ref="C17:H17"/>
    <mergeCell ref="I17:K17"/>
    <mergeCell ref="L17:O17"/>
    <mergeCell ref="C18:H18"/>
    <mergeCell ref="I18:K18"/>
    <mergeCell ref="L18:O18"/>
    <mergeCell ref="B22:D22"/>
    <mergeCell ref="B23:D23"/>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60" fitToHeight="10" orientation="landscape" r:id="rId1"/>
  <headerFooter>
    <oddFooter>&amp;R&amp;P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41"/>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1" s="2" customFormat="1" ht="48" customHeight="1" x14ac:dyDescent="0.2">
      <c r="B1" s="51" t="s">
        <v>0</v>
      </c>
      <c r="C1" s="51"/>
      <c r="D1" s="51"/>
      <c r="E1" s="51"/>
      <c r="F1" s="51"/>
      <c r="G1" s="51"/>
      <c r="H1" s="51"/>
      <c r="I1" s="51"/>
      <c r="J1" s="51"/>
      <c r="K1" s="51"/>
      <c r="L1" s="51"/>
      <c r="M1" s="3" t="s">
        <v>1</v>
      </c>
    </row>
    <row r="2" spans="1:21" ht="13.5" customHeight="1" thickBot="1" x14ac:dyDescent="0.25"/>
    <row r="3" spans="1:21" ht="13.5" customHeight="1" thickTop="1" thickBot="1" x14ac:dyDescent="0.25">
      <c r="B3" s="4" t="s">
        <v>4</v>
      </c>
      <c r="C3" s="5"/>
      <c r="D3" s="5"/>
      <c r="E3" s="5"/>
      <c r="F3" s="5"/>
      <c r="G3" s="5"/>
      <c r="H3" s="6"/>
      <c r="I3" s="6"/>
      <c r="J3" s="6"/>
      <c r="K3" s="6"/>
      <c r="L3" s="6"/>
      <c r="M3" s="6"/>
      <c r="N3" s="6"/>
      <c r="O3" s="6"/>
      <c r="P3" s="6"/>
      <c r="Q3" s="6"/>
      <c r="R3" s="6"/>
      <c r="S3" s="6"/>
      <c r="T3" s="6"/>
      <c r="U3" s="7"/>
    </row>
    <row r="4" spans="1:21" ht="51.75" customHeight="1" thickTop="1" x14ac:dyDescent="0.2">
      <c r="B4" s="8" t="s">
        <v>5</v>
      </c>
      <c r="C4" s="9" t="s">
        <v>213</v>
      </c>
      <c r="D4" s="58" t="s">
        <v>212</v>
      </c>
      <c r="E4" s="58"/>
      <c r="F4" s="58"/>
      <c r="G4" s="58"/>
      <c r="H4" s="58"/>
      <c r="I4" s="10"/>
      <c r="J4" s="11" t="s">
        <v>6</v>
      </c>
      <c r="K4" s="12" t="s">
        <v>7</v>
      </c>
      <c r="L4" s="59" t="s">
        <v>2</v>
      </c>
      <c r="M4" s="59"/>
      <c r="N4" s="59"/>
      <c r="O4" s="59"/>
      <c r="P4" s="11" t="s">
        <v>8</v>
      </c>
      <c r="Q4" s="59" t="s">
        <v>50</v>
      </c>
      <c r="R4" s="59"/>
      <c r="S4" s="11" t="s">
        <v>9</v>
      </c>
      <c r="T4" s="59" t="s">
        <v>211</v>
      </c>
      <c r="U4" s="60"/>
    </row>
    <row r="5" spans="1:21" ht="15.75" customHeight="1" x14ac:dyDescent="0.2">
      <c r="B5" s="55" t="s">
        <v>10</v>
      </c>
      <c r="C5" s="56"/>
      <c r="D5" s="56"/>
      <c r="E5" s="56"/>
      <c r="F5" s="56"/>
      <c r="G5" s="56"/>
      <c r="H5" s="56"/>
      <c r="I5" s="56"/>
      <c r="J5" s="56"/>
      <c r="K5" s="56"/>
      <c r="L5" s="56"/>
      <c r="M5" s="56"/>
      <c r="N5" s="56"/>
      <c r="O5" s="56"/>
      <c r="P5" s="56"/>
      <c r="Q5" s="56"/>
      <c r="R5" s="56"/>
      <c r="S5" s="56"/>
      <c r="T5" s="56"/>
      <c r="U5" s="57"/>
    </row>
    <row r="6" spans="1:21"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75</v>
      </c>
      <c r="U6" s="62"/>
    </row>
    <row r="7" spans="1:21" ht="14.25" customHeight="1" thickTop="1" thickBot="1" x14ac:dyDescent="0.25">
      <c r="B7" s="4" t="s">
        <v>17</v>
      </c>
      <c r="C7" s="5"/>
      <c r="D7" s="5"/>
      <c r="E7" s="5"/>
      <c r="F7" s="5"/>
      <c r="G7" s="5"/>
      <c r="H7" s="6"/>
      <c r="I7" s="6"/>
      <c r="J7" s="6"/>
      <c r="K7" s="6"/>
      <c r="L7" s="6"/>
      <c r="M7" s="6"/>
      <c r="N7" s="6"/>
      <c r="O7" s="6"/>
      <c r="P7" s="6"/>
      <c r="Q7" s="6"/>
      <c r="R7" s="6"/>
      <c r="S7" s="6"/>
      <c r="T7" s="6"/>
      <c r="U7" s="7"/>
    </row>
    <row r="8" spans="1:21"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1"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1"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1" ht="75" customHeight="1" thickTop="1" thickBot="1" x14ac:dyDescent="0.25">
      <c r="A11" s="21"/>
      <c r="B11" s="110" t="s">
        <v>31</v>
      </c>
      <c r="C11" s="84" t="s">
        <v>210</v>
      </c>
      <c r="D11" s="84"/>
      <c r="E11" s="84"/>
      <c r="F11" s="84"/>
      <c r="G11" s="84"/>
      <c r="H11" s="84"/>
      <c r="I11" s="84" t="s">
        <v>209</v>
      </c>
      <c r="J11" s="84"/>
      <c r="K11" s="84"/>
      <c r="L11" s="84" t="s">
        <v>208</v>
      </c>
      <c r="M11" s="84"/>
      <c r="N11" s="84"/>
      <c r="O11" s="84"/>
      <c r="P11" s="23" t="s">
        <v>207</v>
      </c>
      <c r="Q11" s="23" t="s">
        <v>206</v>
      </c>
      <c r="R11" s="111" t="s">
        <v>164</v>
      </c>
      <c r="S11" s="111">
        <v>5</v>
      </c>
      <c r="T11" s="111">
        <v>4</v>
      </c>
      <c r="U11" s="109">
        <f>80</f>
        <v>80</v>
      </c>
    </row>
    <row r="12" spans="1:21" ht="75" customHeight="1" thickTop="1" thickBot="1" x14ac:dyDescent="0.25">
      <c r="A12" s="21"/>
      <c r="B12" s="110" t="s">
        <v>34</v>
      </c>
      <c r="C12" s="84" t="s">
        <v>205</v>
      </c>
      <c r="D12" s="84"/>
      <c r="E12" s="84"/>
      <c r="F12" s="84"/>
      <c r="G12" s="84"/>
      <c r="H12" s="84"/>
      <c r="I12" s="84" t="s">
        <v>204</v>
      </c>
      <c r="J12" s="84"/>
      <c r="K12" s="84"/>
      <c r="L12" s="84" t="s">
        <v>203</v>
      </c>
      <c r="M12" s="84"/>
      <c r="N12" s="84"/>
      <c r="O12" s="84"/>
      <c r="P12" s="23" t="s">
        <v>166</v>
      </c>
      <c r="Q12" s="23" t="s">
        <v>202</v>
      </c>
      <c r="R12" s="111" t="s">
        <v>164</v>
      </c>
      <c r="S12" s="111">
        <v>700000000</v>
      </c>
      <c r="T12" s="111">
        <v>948640133</v>
      </c>
      <c r="U12" s="109">
        <f>135</f>
        <v>135</v>
      </c>
    </row>
    <row r="13" spans="1:21" ht="75" customHeight="1" thickTop="1" x14ac:dyDescent="0.2">
      <c r="A13" s="21"/>
      <c r="B13" s="110" t="s">
        <v>36</v>
      </c>
      <c r="C13" s="84" t="s">
        <v>201</v>
      </c>
      <c r="D13" s="84"/>
      <c r="E13" s="84"/>
      <c r="F13" s="84"/>
      <c r="G13" s="84"/>
      <c r="H13" s="84"/>
      <c r="I13" s="84" t="s">
        <v>200</v>
      </c>
      <c r="J13" s="84"/>
      <c r="K13" s="84"/>
      <c r="L13" s="84" t="s">
        <v>199</v>
      </c>
      <c r="M13" s="84"/>
      <c r="N13" s="84"/>
      <c r="O13" s="84"/>
      <c r="P13" s="23" t="s">
        <v>198</v>
      </c>
      <c r="Q13" s="23" t="s">
        <v>116</v>
      </c>
      <c r="R13" s="23">
        <v>100</v>
      </c>
      <c r="S13" s="23">
        <v>97.86</v>
      </c>
      <c r="T13" s="23">
        <v>100</v>
      </c>
      <c r="U13" s="109">
        <f>100</f>
        <v>100</v>
      </c>
    </row>
    <row r="14" spans="1:21" ht="75" customHeight="1" x14ac:dyDescent="0.2">
      <c r="A14" s="21"/>
      <c r="B14" s="108" t="s">
        <v>35</v>
      </c>
      <c r="C14" s="98" t="s">
        <v>197</v>
      </c>
      <c r="D14" s="98"/>
      <c r="E14" s="98"/>
      <c r="F14" s="98"/>
      <c r="G14" s="98"/>
      <c r="H14" s="98"/>
      <c r="I14" s="98" t="s">
        <v>196</v>
      </c>
      <c r="J14" s="98"/>
      <c r="K14" s="98"/>
      <c r="L14" s="98" t="s">
        <v>195</v>
      </c>
      <c r="M14" s="98"/>
      <c r="N14" s="98"/>
      <c r="O14" s="98"/>
      <c r="P14" s="25" t="s">
        <v>184</v>
      </c>
      <c r="Q14" s="25" t="s">
        <v>143</v>
      </c>
      <c r="R14" s="107" t="s">
        <v>164</v>
      </c>
      <c r="S14" s="107">
        <v>100000000</v>
      </c>
      <c r="T14" s="107">
        <v>119156803.56</v>
      </c>
      <c r="U14" s="106">
        <f>119</f>
        <v>119</v>
      </c>
    </row>
    <row r="15" spans="1:21" ht="75" customHeight="1" x14ac:dyDescent="0.2">
      <c r="A15" s="21"/>
      <c r="B15" s="108" t="s">
        <v>35</v>
      </c>
      <c r="C15" s="98" t="s">
        <v>194</v>
      </c>
      <c r="D15" s="98"/>
      <c r="E15" s="98"/>
      <c r="F15" s="98"/>
      <c r="G15" s="98"/>
      <c r="H15" s="98"/>
      <c r="I15" s="98" t="s">
        <v>193</v>
      </c>
      <c r="J15" s="98"/>
      <c r="K15" s="98"/>
      <c r="L15" s="98" t="s">
        <v>192</v>
      </c>
      <c r="M15" s="98"/>
      <c r="N15" s="98"/>
      <c r="O15" s="98"/>
      <c r="P15" s="25" t="s">
        <v>184</v>
      </c>
      <c r="Q15" s="25" t="s">
        <v>143</v>
      </c>
      <c r="R15" s="107" t="s">
        <v>164</v>
      </c>
      <c r="S15" s="107">
        <v>600000000</v>
      </c>
      <c r="T15" s="107">
        <v>637963000</v>
      </c>
      <c r="U15" s="106">
        <f>106</f>
        <v>106</v>
      </c>
    </row>
    <row r="16" spans="1:21" ht="75" customHeight="1" x14ac:dyDescent="0.2">
      <c r="A16" s="21"/>
      <c r="B16" s="108" t="s">
        <v>35</v>
      </c>
      <c r="C16" s="98" t="s">
        <v>191</v>
      </c>
      <c r="D16" s="98"/>
      <c r="E16" s="98"/>
      <c r="F16" s="98"/>
      <c r="G16" s="98"/>
      <c r="H16" s="98"/>
      <c r="I16" s="98" t="s">
        <v>190</v>
      </c>
      <c r="J16" s="98"/>
      <c r="K16" s="98"/>
      <c r="L16" s="98" t="s">
        <v>189</v>
      </c>
      <c r="M16" s="98"/>
      <c r="N16" s="98"/>
      <c r="O16" s="98"/>
      <c r="P16" s="25" t="s">
        <v>32</v>
      </c>
      <c r="Q16" s="25" t="s">
        <v>188</v>
      </c>
      <c r="R16" s="25">
        <v>100</v>
      </c>
      <c r="S16" s="25">
        <v>97</v>
      </c>
      <c r="T16" s="25">
        <v>97.83</v>
      </c>
      <c r="U16" s="106">
        <f>100</f>
        <v>100</v>
      </c>
    </row>
    <row r="17" spans="1:22" ht="75" customHeight="1" thickBot="1" x14ac:dyDescent="0.25">
      <c r="A17" s="21"/>
      <c r="B17" s="108" t="s">
        <v>35</v>
      </c>
      <c r="C17" s="98" t="s">
        <v>187</v>
      </c>
      <c r="D17" s="98"/>
      <c r="E17" s="98"/>
      <c r="F17" s="98"/>
      <c r="G17" s="98"/>
      <c r="H17" s="98"/>
      <c r="I17" s="98" t="s">
        <v>186</v>
      </c>
      <c r="J17" s="98"/>
      <c r="K17" s="98"/>
      <c r="L17" s="98" t="s">
        <v>185</v>
      </c>
      <c r="M17" s="98"/>
      <c r="N17" s="98"/>
      <c r="O17" s="98"/>
      <c r="P17" s="25" t="s">
        <v>184</v>
      </c>
      <c r="Q17" s="25" t="s">
        <v>143</v>
      </c>
      <c r="R17" s="107" t="s">
        <v>164</v>
      </c>
      <c r="S17" s="107">
        <v>780000000</v>
      </c>
      <c r="T17" s="107">
        <v>829453330</v>
      </c>
      <c r="U17" s="106">
        <f>107</f>
        <v>107</v>
      </c>
    </row>
    <row r="18" spans="1:22" ht="75" customHeight="1" thickTop="1" x14ac:dyDescent="0.2">
      <c r="A18" s="21"/>
      <c r="B18" s="110" t="s">
        <v>37</v>
      </c>
      <c r="C18" s="84" t="s">
        <v>183</v>
      </c>
      <c r="D18" s="84"/>
      <c r="E18" s="84"/>
      <c r="F18" s="84"/>
      <c r="G18" s="84"/>
      <c r="H18" s="84"/>
      <c r="I18" s="84" t="s">
        <v>182</v>
      </c>
      <c r="J18" s="84"/>
      <c r="K18" s="84"/>
      <c r="L18" s="84" t="s">
        <v>181</v>
      </c>
      <c r="M18" s="84"/>
      <c r="N18" s="84"/>
      <c r="O18" s="84"/>
      <c r="P18" s="23" t="s">
        <v>32</v>
      </c>
      <c r="Q18" s="23" t="s">
        <v>170</v>
      </c>
      <c r="R18" s="23">
        <v>99.59</v>
      </c>
      <c r="S18" s="23">
        <v>99.79</v>
      </c>
      <c r="T18" s="23">
        <v>100</v>
      </c>
      <c r="U18" s="109">
        <f>100</f>
        <v>100</v>
      </c>
    </row>
    <row r="19" spans="1:22" ht="75" customHeight="1" x14ac:dyDescent="0.2">
      <c r="A19" s="21"/>
      <c r="B19" s="108" t="s">
        <v>35</v>
      </c>
      <c r="C19" s="98" t="s">
        <v>180</v>
      </c>
      <c r="D19" s="98"/>
      <c r="E19" s="98"/>
      <c r="F19" s="98"/>
      <c r="G19" s="98"/>
      <c r="H19" s="98"/>
      <c r="I19" s="98" t="s">
        <v>179</v>
      </c>
      <c r="J19" s="98"/>
      <c r="K19" s="98"/>
      <c r="L19" s="98" t="s">
        <v>178</v>
      </c>
      <c r="M19" s="98"/>
      <c r="N19" s="98"/>
      <c r="O19" s="98"/>
      <c r="P19" s="25" t="s">
        <v>166</v>
      </c>
      <c r="Q19" s="25" t="s">
        <v>170</v>
      </c>
      <c r="R19" s="25">
        <v>90.48</v>
      </c>
      <c r="S19" s="25">
        <v>90</v>
      </c>
      <c r="T19" s="25">
        <v>91.29</v>
      </c>
      <c r="U19" s="106">
        <f>100</f>
        <v>100</v>
      </c>
    </row>
    <row r="20" spans="1:22" ht="75" customHeight="1" x14ac:dyDescent="0.2">
      <c r="A20" s="21"/>
      <c r="B20" s="108" t="s">
        <v>35</v>
      </c>
      <c r="C20" s="98" t="s">
        <v>177</v>
      </c>
      <c r="D20" s="98"/>
      <c r="E20" s="98"/>
      <c r="F20" s="98"/>
      <c r="G20" s="98"/>
      <c r="H20" s="98"/>
      <c r="I20" s="98" t="s">
        <v>176</v>
      </c>
      <c r="J20" s="98"/>
      <c r="K20" s="98"/>
      <c r="L20" s="98" t="s">
        <v>175</v>
      </c>
      <c r="M20" s="98"/>
      <c r="N20" s="98"/>
      <c r="O20" s="98"/>
      <c r="P20" s="25" t="s">
        <v>166</v>
      </c>
      <c r="Q20" s="25" t="s">
        <v>174</v>
      </c>
      <c r="R20" s="107" t="s">
        <v>164</v>
      </c>
      <c r="S20" s="107">
        <v>14000</v>
      </c>
      <c r="T20" s="107">
        <v>16813</v>
      </c>
      <c r="U20" s="106">
        <f>120</f>
        <v>120</v>
      </c>
    </row>
    <row r="21" spans="1:22" ht="75" customHeight="1" x14ac:dyDescent="0.2">
      <c r="A21" s="21"/>
      <c r="B21" s="108" t="s">
        <v>35</v>
      </c>
      <c r="C21" s="98" t="s">
        <v>173</v>
      </c>
      <c r="D21" s="98"/>
      <c r="E21" s="98"/>
      <c r="F21" s="98"/>
      <c r="G21" s="98"/>
      <c r="H21" s="98"/>
      <c r="I21" s="98" t="s">
        <v>172</v>
      </c>
      <c r="J21" s="98"/>
      <c r="K21" s="98"/>
      <c r="L21" s="98" t="s">
        <v>171</v>
      </c>
      <c r="M21" s="98"/>
      <c r="N21" s="98"/>
      <c r="O21" s="98"/>
      <c r="P21" s="25" t="s">
        <v>166</v>
      </c>
      <c r="Q21" s="25" t="s">
        <v>170</v>
      </c>
      <c r="R21" s="25">
        <v>100</v>
      </c>
      <c r="S21" s="25">
        <v>99.7</v>
      </c>
      <c r="T21" s="25">
        <v>96.35</v>
      </c>
      <c r="U21" s="106">
        <f>96.63</f>
        <v>96.63</v>
      </c>
    </row>
    <row r="22" spans="1:22" ht="75" customHeight="1" thickBot="1" x14ac:dyDescent="0.25">
      <c r="A22" s="21"/>
      <c r="B22" s="108" t="s">
        <v>35</v>
      </c>
      <c r="C22" s="98" t="s">
        <v>169</v>
      </c>
      <c r="D22" s="98"/>
      <c r="E22" s="98"/>
      <c r="F22" s="98"/>
      <c r="G22" s="98"/>
      <c r="H22" s="98"/>
      <c r="I22" s="98" t="s">
        <v>168</v>
      </c>
      <c r="J22" s="98"/>
      <c r="K22" s="98"/>
      <c r="L22" s="98" t="s">
        <v>167</v>
      </c>
      <c r="M22" s="98"/>
      <c r="N22" s="98"/>
      <c r="O22" s="98"/>
      <c r="P22" s="25" t="s">
        <v>166</v>
      </c>
      <c r="Q22" s="25" t="s">
        <v>165</v>
      </c>
      <c r="R22" s="107" t="s">
        <v>164</v>
      </c>
      <c r="S22" s="107">
        <v>2200</v>
      </c>
      <c r="T22" s="107">
        <v>2397</v>
      </c>
      <c r="U22" s="106">
        <f>108</f>
        <v>108</v>
      </c>
    </row>
    <row r="23" spans="1:22" ht="14.25" customHeight="1" thickTop="1" thickBot="1" x14ac:dyDescent="0.25">
      <c r="B23" s="4" t="s">
        <v>39</v>
      </c>
      <c r="C23" s="5"/>
      <c r="D23" s="5"/>
      <c r="E23" s="5"/>
      <c r="F23" s="5"/>
      <c r="G23" s="5"/>
      <c r="H23" s="6"/>
      <c r="I23" s="6"/>
      <c r="J23" s="6"/>
      <c r="K23" s="6"/>
      <c r="L23" s="6"/>
      <c r="M23" s="6"/>
      <c r="N23" s="6"/>
      <c r="O23" s="6"/>
      <c r="P23" s="6"/>
      <c r="Q23" s="6"/>
      <c r="R23" s="6"/>
      <c r="S23" s="6"/>
      <c r="T23" s="6"/>
      <c r="U23" s="7"/>
      <c r="V23" s="27"/>
    </row>
    <row r="24" spans="1:22" ht="26.25" customHeight="1" thickTop="1" x14ac:dyDescent="0.2">
      <c r="B24" s="28"/>
      <c r="C24" s="29"/>
      <c r="D24" s="29"/>
      <c r="E24" s="29"/>
      <c r="F24" s="29"/>
      <c r="G24" s="29"/>
      <c r="H24" s="30"/>
      <c r="I24" s="30"/>
      <c r="J24" s="30"/>
      <c r="K24" s="30"/>
      <c r="L24" s="30"/>
      <c r="M24" s="30"/>
      <c r="N24" s="30"/>
      <c r="O24" s="30"/>
      <c r="P24" s="30"/>
      <c r="Q24" s="30"/>
      <c r="R24" s="31"/>
      <c r="S24" s="49" t="s">
        <v>26</v>
      </c>
      <c r="T24" s="49" t="s">
        <v>40</v>
      </c>
      <c r="U24" s="18" t="s">
        <v>41</v>
      </c>
    </row>
    <row r="25" spans="1:22" ht="26.25" customHeight="1" thickBot="1" x14ac:dyDescent="0.25">
      <c r="B25" s="33"/>
      <c r="C25" s="34"/>
      <c r="D25" s="34"/>
      <c r="E25" s="34"/>
      <c r="F25" s="34"/>
      <c r="G25" s="34"/>
      <c r="H25" s="35"/>
      <c r="I25" s="35"/>
      <c r="J25" s="35"/>
      <c r="K25" s="35"/>
      <c r="L25" s="35"/>
      <c r="M25" s="35"/>
      <c r="N25" s="35"/>
      <c r="O25" s="35"/>
      <c r="P25" s="35"/>
      <c r="Q25" s="35"/>
      <c r="R25" s="35"/>
      <c r="S25" s="36" t="s">
        <v>42</v>
      </c>
      <c r="T25" s="37" t="s">
        <v>42</v>
      </c>
      <c r="U25" s="37" t="s">
        <v>43</v>
      </c>
    </row>
    <row r="26" spans="1:22" ht="13.5" customHeight="1" thickBot="1" x14ac:dyDescent="0.25">
      <c r="B26" s="91" t="s">
        <v>44</v>
      </c>
      <c r="C26" s="92"/>
      <c r="D26" s="92"/>
      <c r="E26" s="47"/>
      <c r="F26" s="47"/>
      <c r="G26" s="47"/>
      <c r="H26" s="39"/>
      <c r="I26" s="39"/>
      <c r="J26" s="39"/>
      <c r="K26" s="39"/>
      <c r="L26" s="39"/>
      <c r="M26" s="39"/>
      <c r="N26" s="39"/>
      <c r="O26" s="39"/>
      <c r="P26" s="40"/>
      <c r="Q26" s="40"/>
      <c r="R26" s="40"/>
      <c r="S26" s="105">
        <f>1169.289863</f>
        <v>1169.289863</v>
      </c>
      <c r="T26" s="105">
        <f>961.32322</f>
        <v>961.32321999999999</v>
      </c>
      <c r="U26" s="104">
        <f>+IF(ISERR(T26/S26*100),"N/A",ROUND(T26/S26*100,1))</f>
        <v>82.2</v>
      </c>
    </row>
    <row r="27" spans="1:22" ht="13.5" customHeight="1" thickBot="1" x14ac:dyDescent="0.25">
      <c r="B27" s="93" t="s">
        <v>45</v>
      </c>
      <c r="C27" s="94"/>
      <c r="D27" s="94"/>
      <c r="E27" s="48"/>
      <c r="F27" s="48"/>
      <c r="G27" s="48"/>
      <c r="H27" s="42"/>
      <c r="I27" s="42"/>
      <c r="J27" s="42"/>
      <c r="K27" s="42"/>
      <c r="L27" s="42"/>
      <c r="M27" s="42"/>
      <c r="N27" s="42"/>
      <c r="O27" s="42"/>
      <c r="P27" s="43"/>
      <c r="Q27" s="43"/>
      <c r="R27" s="43"/>
      <c r="S27" s="105">
        <f>935.339647</f>
        <v>935.33964700000001</v>
      </c>
      <c r="T27" s="105">
        <f>961.32322</f>
        <v>961.32321999999999</v>
      </c>
      <c r="U27" s="104">
        <f>+IF(ISERR(T27/S27*100),"N/A",ROUND(T27/S27*100,1))</f>
        <v>102.8</v>
      </c>
    </row>
    <row r="28" spans="1:22" ht="14.85" customHeight="1" thickTop="1" thickBot="1" x14ac:dyDescent="0.25">
      <c r="B28" s="4" t="s">
        <v>46</v>
      </c>
      <c r="C28" s="5"/>
      <c r="D28" s="5"/>
      <c r="E28" s="5"/>
      <c r="F28" s="5"/>
      <c r="G28" s="5"/>
      <c r="H28" s="6"/>
      <c r="I28" s="6"/>
      <c r="J28" s="6"/>
      <c r="K28" s="6"/>
      <c r="L28" s="6"/>
      <c r="M28" s="6"/>
      <c r="N28" s="6"/>
      <c r="O28" s="6"/>
      <c r="P28" s="6"/>
      <c r="Q28" s="6"/>
      <c r="R28" s="6"/>
      <c r="S28" s="6"/>
      <c r="T28" s="6"/>
      <c r="U28" s="7"/>
    </row>
    <row r="29" spans="1:22" ht="44.25" customHeight="1" thickTop="1" x14ac:dyDescent="0.2">
      <c r="B29" s="95" t="s">
        <v>47</v>
      </c>
      <c r="C29" s="96"/>
      <c r="D29" s="96"/>
      <c r="E29" s="96"/>
      <c r="F29" s="96"/>
      <c r="G29" s="96"/>
      <c r="H29" s="96"/>
      <c r="I29" s="96"/>
      <c r="J29" s="96"/>
      <c r="K29" s="96"/>
      <c r="L29" s="96"/>
      <c r="M29" s="96"/>
      <c r="N29" s="96"/>
      <c r="O29" s="96"/>
      <c r="P29" s="96"/>
      <c r="Q29" s="96"/>
      <c r="R29" s="96"/>
      <c r="S29" s="96"/>
      <c r="T29" s="96"/>
      <c r="U29" s="97"/>
    </row>
    <row r="30" spans="1:22" ht="34.5" customHeight="1" x14ac:dyDescent="0.2">
      <c r="B30" s="103" t="s">
        <v>163</v>
      </c>
      <c r="C30" s="86"/>
      <c r="D30" s="86"/>
      <c r="E30" s="86"/>
      <c r="F30" s="86"/>
      <c r="G30" s="86"/>
      <c r="H30" s="86"/>
      <c r="I30" s="86"/>
      <c r="J30" s="86"/>
      <c r="K30" s="86"/>
      <c r="L30" s="86"/>
      <c r="M30" s="86"/>
      <c r="N30" s="86"/>
      <c r="O30" s="86"/>
      <c r="P30" s="86"/>
      <c r="Q30" s="86"/>
      <c r="R30" s="86"/>
      <c r="S30" s="86"/>
      <c r="T30" s="86"/>
      <c r="U30" s="102"/>
    </row>
    <row r="31" spans="1:22" ht="23.25" customHeight="1" x14ac:dyDescent="0.2">
      <c r="B31" s="103" t="s">
        <v>162</v>
      </c>
      <c r="C31" s="86"/>
      <c r="D31" s="86"/>
      <c r="E31" s="86"/>
      <c r="F31" s="86"/>
      <c r="G31" s="86"/>
      <c r="H31" s="86"/>
      <c r="I31" s="86"/>
      <c r="J31" s="86"/>
      <c r="K31" s="86"/>
      <c r="L31" s="86"/>
      <c r="M31" s="86"/>
      <c r="N31" s="86"/>
      <c r="O31" s="86"/>
      <c r="P31" s="86"/>
      <c r="Q31" s="86"/>
      <c r="R31" s="86"/>
      <c r="S31" s="86"/>
      <c r="T31" s="86"/>
      <c r="U31" s="102"/>
    </row>
    <row r="32" spans="1:22" ht="38.450000000000003" customHeight="1" x14ac:dyDescent="0.2">
      <c r="B32" s="103" t="s">
        <v>161</v>
      </c>
      <c r="C32" s="86"/>
      <c r="D32" s="86"/>
      <c r="E32" s="86"/>
      <c r="F32" s="86"/>
      <c r="G32" s="86"/>
      <c r="H32" s="86"/>
      <c r="I32" s="86"/>
      <c r="J32" s="86"/>
      <c r="K32" s="86"/>
      <c r="L32" s="86"/>
      <c r="M32" s="86"/>
      <c r="N32" s="86"/>
      <c r="O32" s="86"/>
      <c r="P32" s="86"/>
      <c r="Q32" s="86"/>
      <c r="R32" s="86"/>
      <c r="S32" s="86"/>
      <c r="T32" s="86"/>
      <c r="U32" s="102"/>
    </row>
    <row r="33" spans="2:21" ht="21" customHeight="1" x14ac:dyDescent="0.2">
      <c r="B33" s="103" t="s">
        <v>160</v>
      </c>
      <c r="C33" s="86"/>
      <c r="D33" s="86"/>
      <c r="E33" s="86"/>
      <c r="F33" s="86"/>
      <c r="G33" s="86"/>
      <c r="H33" s="86"/>
      <c r="I33" s="86"/>
      <c r="J33" s="86"/>
      <c r="K33" s="86"/>
      <c r="L33" s="86"/>
      <c r="M33" s="86"/>
      <c r="N33" s="86"/>
      <c r="O33" s="86"/>
      <c r="P33" s="86"/>
      <c r="Q33" s="86"/>
      <c r="R33" s="86"/>
      <c r="S33" s="86"/>
      <c r="T33" s="86"/>
      <c r="U33" s="102"/>
    </row>
    <row r="34" spans="2:21" ht="18.95" customHeight="1" x14ac:dyDescent="0.2">
      <c r="B34" s="103" t="s">
        <v>159</v>
      </c>
      <c r="C34" s="86"/>
      <c r="D34" s="86"/>
      <c r="E34" s="86"/>
      <c r="F34" s="86"/>
      <c r="G34" s="86"/>
      <c r="H34" s="86"/>
      <c r="I34" s="86"/>
      <c r="J34" s="86"/>
      <c r="K34" s="86"/>
      <c r="L34" s="86"/>
      <c r="M34" s="86"/>
      <c r="N34" s="86"/>
      <c r="O34" s="86"/>
      <c r="P34" s="86"/>
      <c r="Q34" s="86"/>
      <c r="R34" s="86"/>
      <c r="S34" s="86"/>
      <c r="T34" s="86"/>
      <c r="U34" s="102"/>
    </row>
    <row r="35" spans="2:21" ht="50.25" customHeight="1" x14ac:dyDescent="0.2">
      <c r="B35" s="103" t="s">
        <v>158</v>
      </c>
      <c r="C35" s="86"/>
      <c r="D35" s="86"/>
      <c r="E35" s="86"/>
      <c r="F35" s="86"/>
      <c r="G35" s="86"/>
      <c r="H35" s="86"/>
      <c r="I35" s="86"/>
      <c r="J35" s="86"/>
      <c r="K35" s="86"/>
      <c r="L35" s="86"/>
      <c r="M35" s="86"/>
      <c r="N35" s="86"/>
      <c r="O35" s="86"/>
      <c r="P35" s="86"/>
      <c r="Q35" s="86"/>
      <c r="R35" s="86"/>
      <c r="S35" s="86"/>
      <c r="T35" s="86"/>
      <c r="U35" s="102"/>
    </row>
    <row r="36" spans="2:21" ht="21.2" customHeight="1" x14ac:dyDescent="0.2">
      <c r="B36" s="103" t="s">
        <v>157</v>
      </c>
      <c r="C36" s="86"/>
      <c r="D36" s="86"/>
      <c r="E36" s="86"/>
      <c r="F36" s="86"/>
      <c r="G36" s="86"/>
      <c r="H36" s="86"/>
      <c r="I36" s="86"/>
      <c r="J36" s="86"/>
      <c r="K36" s="86"/>
      <c r="L36" s="86"/>
      <c r="M36" s="86"/>
      <c r="N36" s="86"/>
      <c r="O36" s="86"/>
      <c r="P36" s="86"/>
      <c r="Q36" s="86"/>
      <c r="R36" s="86"/>
      <c r="S36" s="86"/>
      <c r="T36" s="86"/>
      <c r="U36" s="102"/>
    </row>
    <row r="37" spans="2:21" ht="36.6" customHeight="1" x14ac:dyDescent="0.2">
      <c r="B37" s="103" t="s">
        <v>156</v>
      </c>
      <c r="C37" s="86"/>
      <c r="D37" s="86"/>
      <c r="E37" s="86"/>
      <c r="F37" s="86"/>
      <c r="G37" s="86"/>
      <c r="H37" s="86"/>
      <c r="I37" s="86"/>
      <c r="J37" s="86"/>
      <c r="K37" s="86"/>
      <c r="L37" s="86"/>
      <c r="M37" s="86"/>
      <c r="N37" s="86"/>
      <c r="O37" s="86"/>
      <c r="P37" s="86"/>
      <c r="Q37" s="86"/>
      <c r="R37" s="86"/>
      <c r="S37" s="86"/>
      <c r="T37" s="86"/>
      <c r="U37" s="102"/>
    </row>
    <row r="38" spans="2:21" ht="35.85" customHeight="1" x14ac:dyDescent="0.2">
      <c r="B38" s="103" t="s">
        <v>155</v>
      </c>
      <c r="C38" s="86"/>
      <c r="D38" s="86"/>
      <c r="E38" s="86"/>
      <c r="F38" s="86"/>
      <c r="G38" s="86"/>
      <c r="H38" s="86"/>
      <c r="I38" s="86"/>
      <c r="J38" s="86"/>
      <c r="K38" s="86"/>
      <c r="L38" s="86"/>
      <c r="M38" s="86"/>
      <c r="N38" s="86"/>
      <c r="O38" s="86"/>
      <c r="P38" s="86"/>
      <c r="Q38" s="86"/>
      <c r="R38" s="86"/>
      <c r="S38" s="86"/>
      <c r="T38" s="86"/>
      <c r="U38" s="102"/>
    </row>
    <row r="39" spans="2:21" ht="34.5" customHeight="1" x14ac:dyDescent="0.2">
      <c r="B39" s="103" t="s">
        <v>154</v>
      </c>
      <c r="C39" s="86"/>
      <c r="D39" s="86"/>
      <c r="E39" s="86"/>
      <c r="F39" s="86"/>
      <c r="G39" s="86"/>
      <c r="H39" s="86"/>
      <c r="I39" s="86"/>
      <c r="J39" s="86"/>
      <c r="K39" s="86"/>
      <c r="L39" s="86"/>
      <c r="M39" s="86"/>
      <c r="N39" s="86"/>
      <c r="O39" s="86"/>
      <c r="P39" s="86"/>
      <c r="Q39" s="86"/>
      <c r="R39" s="86"/>
      <c r="S39" s="86"/>
      <c r="T39" s="86"/>
      <c r="U39" s="102"/>
    </row>
    <row r="40" spans="2:21" ht="49.7" customHeight="1" x14ac:dyDescent="0.2">
      <c r="B40" s="103" t="s">
        <v>153</v>
      </c>
      <c r="C40" s="86"/>
      <c r="D40" s="86"/>
      <c r="E40" s="86"/>
      <c r="F40" s="86"/>
      <c r="G40" s="86"/>
      <c r="H40" s="86"/>
      <c r="I40" s="86"/>
      <c r="J40" s="86"/>
      <c r="K40" s="86"/>
      <c r="L40" s="86"/>
      <c r="M40" s="86"/>
      <c r="N40" s="86"/>
      <c r="O40" s="86"/>
      <c r="P40" s="86"/>
      <c r="Q40" s="86"/>
      <c r="R40" s="86"/>
      <c r="S40" s="86"/>
      <c r="T40" s="86"/>
      <c r="U40" s="102"/>
    </row>
    <row r="41" spans="2:21" ht="17.45" customHeight="1" thickBot="1" x14ac:dyDescent="0.25">
      <c r="B41" s="101" t="s">
        <v>152</v>
      </c>
      <c r="C41" s="100"/>
      <c r="D41" s="100"/>
      <c r="E41" s="100"/>
      <c r="F41" s="100"/>
      <c r="G41" s="100"/>
      <c r="H41" s="100"/>
      <c r="I41" s="100"/>
      <c r="J41" s="100"/>
      <c r="K41" s="100"/>
      <c r="L41" s="100"/>
      <c r="M41" s="100"/>
      <c r="N41" s="100"/>
      <c r="O41" s="100"/>
      <c r="P41" s="100"/>
      <c r="Q41" s="100"/>
      <c r="R41" s="100"/>
      <c r="S41" s="100"/>
      <c r="T41" s="100"/>
      <c r="U41" s="99"/>
    </row>
  </sheetData>
  <mergeCells count="72">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C14:H14"/>
    <mergeCell ref="I14:K14"/>
    <mergeCell ref="L14:O14"/>
    <mergeCell ref="C15:H15"/>
    <mergeCell ref="I15:K15"/>
    <mergeCell ref="L15:O15"/>
    <mergeCell ref="C16:H16"/>
    <mergeCell ref="I16:K16"/>
    <mergeCell ref="L16:O16"/>
    <mergeCell ref="C17:H17"/>
    <mergeCell ref="I17:K17"/>
    <mergeCell ref="L17:O17"/>
    <mergeCell ref="C18:H18"/>
    <mergeCell ref="I18:K18"/>
    <mergeCell ref="L18:O18"/>
    <mergeCell ref="C19:H19"/>
    <mergeCell ref="I19:K19"/>
    <mergeCell ref="L19:O19"/>
    <mergeCell ref="C20:H20"/>
    <mergeCell ref="I20:K20"/>
    <mergeCell ref="L20:O20"/>
    <mergeCell ref="C21:H21"/>
    <mergeCell ref="I21:K21"/>
    <mergeCell ref="L21:O21"/>
    <mergeCell ref="C22:H22"/>
    <mergeCell ref="I22:K22"/>
    <mergeCell ref="L22:O22"/>
    <mergeCell ref="B26:D26"/>
    <mergeCell ref="B27:D27"/>
    <mergeCell ref="B29:U29"/>
    <mergeCell ref="B30:U30"/>
    <mergeCell ref="B31:U31"/>
    <mergeCell ref="B32:U32"/>
    <mergeCell ref="B33:U33"/>
    <mergeCell ref="B34:U34"/>
    <mergeCell ref="B35:U35"/>
    <mergeCell ref="B36:U36"/>
    <mergeCell ref="B37:U37"/>
    <mergeCell ref="B38:U38"/>
    <mergeCell ref="B39:U39"/>
    <mergeCell ref="B40:U40"/>
    <mergeCell ref="B41:U4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232</v>
      </c>
      <c r="D4" s="58" t="s">
        <v>231</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52</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230</v>
      </c>
      <c r="D11" s="84"/>
      <c r="E11" s="84"/>
      <c r="F11" s="84"/>
      <c r="G11" s="84"/>
      <c r="H11" s="84"/>
      <c r="I11" s="84" t="s">
        <v>229</v>
      </c>
      <c r="J11" s="84"/>
      <c r="K11" s="84"/>
      <c r="L11" s="84" t="s">
        <v>228</v>
      </c>
      <c r="M11" s="84"/>
      <c r="N11" s="84"/>
      <c r="O11" s="84"/>
      <c r="P11" s="23" t="s">
        <v>32</v>
      </c>
      <c r="Q11" s="23" t="s">
        <v>60</v>
      </c>
      <c r="R11" s="23">
        <v>91.63</v>
      </c>
      <c r="S11" s="23">
        <v>91.37</v>
      </c>
      <c r="T11" s="23">
        <v>97.63</v>
      </c>
      <c r="U11" s="109">
        <f>106.85</f>
        <v>106.85</v>
      </c>
    </row>
    <row r="12" spans="1:22" ht="75" customHeight="1" thickTop="1" thickBot="1" x14ac:dyDescent="0.25">
      <c r="A12" s="21"/>
      <c r="B12" s="110" t="s">
        <v>34</v>
      </c>
      <c r="C12" s="84" t="s">
        <v>227</v>
      </c>
      <c r="D12" s="84"/>
      <c r="E12" s="84"/>
      <c r="F12" s="84"/>
      <c r="G12" s="84"/>
      <c r="H12" s="84"/>
      <c r="I12" s="84" t="s">
        <v>214</v>
      </c>
      <c r="J12" s="84"/>
      <c r="K12" s="84"/>
      <c r="L12" s="84" t="s">
        <v>226</v>
      </c>
      <c r="M12" s="84"/>
      <c r="N12" s="84"/>
      <c r="O12" s="84"/>
      <c r="P12" s="23" t="s">
        <v>32</v>
      </c>
      <c r="Q12" s="23" t="s">
        <v>60</v>
      </c>
      <c r="R12" s="23">
        <v>95</v>
      </c>
      <c r="S12" s="23">
        <v>8.6300000000000008</v>
      </c>
      <c r="T12" s="23">
        <v>2.37</v>
      </c>
      <c r="U12" s="109">
        <f>172.54</f>
        <v>172.54</v>
      </c>
    </row>
    <row r="13" spans="1:22" ht="75" customHeight="1" thickTop="1" thickBot="1" x14ac:dyDescent="0.25">
      <c r="A13" s="21"/>
      <c r="B13" s="110" t="s">
        <v>36</v>
      </c>
      <c r="C13" s="84" t="s">
        <v>225</v>
      </c>
      <c r="D13" s="84"/>
      <c r="E13" s="84"/>
      <c r="F13" s="84"/>
      <c r="G13" s="84"/>
      <c r="H13" s="84"/>
      <c r="I13" s="84" t="s">
        <v>224</v>
      </c>
      <c r="J13" s="84"/>
      <c r="K13" s="84"/>
      <c r="L13" s="84" t="s">
        <v>223</v>
      </c>
      <c r="M13" s="84"/>
      <c r="N13" s="84"/>
      <c r="O13" s="84"/>
      <c r="P13" s="23" t="s">
        <v>32</v>
      </c>
      <c r="Q13" s="23" t="s">
        <v>60</v>
      </c>
      <c r="R13" s="23">
        <v>8.3699999999999992</v>
      </c>
      <c r="S13" s="23">
        <v>95</v>
      </c>
      <c r="T13" s="23">
        <v>105.3</v>
      </c>
      <c r="U13" s="109">
        <f>110.84</f>
        <v>110.84</v>
      </c>
    </row>
    <row r="14" spans="1:22" ht="75" customHeight="1" thickTop="1" thickBot="1" x14ac:dyDescent="0.25">
      <c r="A14" s="21"/>
      <c r="B14" s="110" t="s">
        <v>37</v>
      </c>
      <c r="C14" s="84" t="s">
        <v>222</v>
      </c>
      <c r="D14" s="84"/>
      <c r="E14" s="84"/>
      <c r="F14" s="84"/>
      <c r="G14" s="84"/>
      <c r="H14" s="84"/>
      <c r="I14" s="84" t="s">
        <v>221</v>
      </c>
      <c r="J14" s="84"/>
      <c r="K14" s="84"/>
      <c r="L14" s="84" t="s">
        <v>220</v>
      </c>
      <c r="M14" s="84"/>
      <c r="N14" s="84"/>
      <c r="O14" s="84"/>
      <c r="P14" s="23" t="s">
        <v>32</v>
      </c>
      <c r="Q14" s="23" t="s">
        <v>219</v>
      </c>
      <c r="R14" s="23">
        <v>95</v>
      </c>
      <c r="S14" s="23">
        <v>95</v>
      </c>
      <c r="T14" s="23">
        <v>102.31</v>
      </c>
      <c r="U14" s="109">
        <f>107.37</f>
        <v>107.37</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5689.49455</f>
        <v>5689.4945500000003</v>
      </c>
      <c r="T18" s="105">
        <f>5036.904561</f>
        <v>5036.9045610000003</v>
      </c>
      <c r="U18" s="104">
        <f>+IF(ISERR(T18/S18*100),"N/A",ROUND(T18/S18*100,1))</f>
        <v>88.5</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4982.391212</f>
        <v>4982.3912120000005</v>
      </c>
      <c r="T19" s="105">
        <f>5036.904561</f>
        <v>5036.9045610000003</v>
      </c>
      <c r="U19" s="104">
        <f>+IF(ISERR(T19/S19*100),"N/A",ROUND(T19/S19*100,1))</f>
        <v>101.1</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18.2" customHeight="1" x14ac:dyDescent="0.2">
      <c r="B22" s="103" t="s">
        <v>218</v>
      </c>
      <c r="C22" s="86"/>
      <c r="D22" s="86"/>
      <c r="E22" s="86"/>
      <c r="F22" s="86"/>
      <c r="G22" s="86"/>
      <c r="H22" s="86"/>
      <c r="I22" s="86"/>
      <c r="J22" s="86"/>
      <c r="K22" s="86"/>
      <c r="L22" s="86"/>
      <c r="M22" s="86"/>
      <c r="N22" s="86"/>
      <c r="O22" s="86"/>
      <c r="P22" s="86"/>
      <c r="Q22" s="86"/>
      <c r="R22" s="86"/>
      <c r="S22" s="86"/>
      <c r="T22" s="86"/>
      <c r="U22" s="102"/>
    </row>
    <row r="23" spans="2:21" ht="27.2" customHeight="1" x14ac:dyDescent="0.2">
      <c r="B23" s="103" t="s">
        <v>217</v>
      </c>
      <c r="C23" s="86"/>
      <c r="D23" s="86"/>
      <c r="E23" s="86"/>
      <c r="F23" s="86"/>
      <c r="G23" s="86"/>
      <c r="H23" s="86"/>
      <c r="I23" s="86"/>
      <c r="J23" s="86"/>
      <c r="K23" s="86"/>
      <c r="L23" s="86"/>
      <c r="M23" s="86"/>
      <c r="N23" s="86"/>
      <c r="O23" s="86"/>
      <c r="P23" s="86"/>
      <c r="Q23" s="86"/>
      <c r="R23" s="86"/>
      <c r="S23" s="86"/>
      <c r="T23" s="86"/>
      <c r="U23" s="102"/>
    </row>
    <row r="24" spans="2:21" ht="41.85" customHeight="1" x14ac:dyDescent="0.2">
      <c r="B24" s="103" t="s">
        <v>216</v>
      </c>
      <c r="C24" s="86"/>
      <c r="D24" s="86"/>
      <c r="E24" s="86"/>
      <c r="F24" s="86"/>
      <c r="G24" s="86"/>
      <c r="H24" s="86"/>
      <c r="I24" s="86"/>
      <c r="J24" s="86"/>
      <c r="K24" s="86"/>
      <c r="L24" s="86"/>
      <c r="M24" s="86"/>
      <c r="N24" s="86"/>
      <c r="O24" s="86"/>
      <c r="P24" s="86"/>
      <c r="Q24" s="86"/>
      <c r="R24" s="86"/>
      <c r="S24" s="86"/>
      <c r="T24" s="86"/>
      <c r="U24" s="102"/>
    </row>
    <row r="25" spans="2:21" ht="27.2" customHeight="1" thickBot="1" x14ac:dyDescent="0.25">
      <c r="B25" s="101" t="s">
        <v>215</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252</v>
      </c>
      <c r="D4" s="58" t="s">
        <v>251</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52</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250</v>
      </c>
      <c r="D11" s="84"/>
      <c r="E11" s="84"/>
      <c r="F11" s="84"/>
      <c r="G11" s="84"/>
      <c r="H11" s="84"/>
      <c r="I11" s="84" t="s">
        <v>249</v>
      </c>
      <c r="J11" s="84"/>
      <c r="K11" s="84"/>
      <c r="L11" s="84" t="s">
        <v>248</v>
      </c>
      <c r="M11" s="84"/>
      <c r="N11" s="84"/>
      <c r="O11" s="84"/>
      <c r="P11" s="23" t="s">
        <v>32</v>
      </c>
      <c r="Q11" s="23" t="s">
        <v>33</v>
      </c>
      <c r="R11" s="111">
        <v>99.75</v>
      </c>
      <c r="S11" s="111">
        <v>99.75</v>
      </c>
      <c r="T11" s="111">
        <v>102.16</v>
      </c>
      <c r="U11" s="109">
        <f>102.41</f>
        <v>102.41</v>
      </c>
    </row>
    <row r="12" spans="1:22" ht="75" customHeight="1" thickTop="1" thickBot="1" x14ac:dyDescent="0.25">
      <c r="A12" s="21"/>
      <c r="B12" s="110" t="s">
        <v>34</v>
      </c>
      <c r="C12" s="84" t="s">
        <v>247</v>
      </c>
      <c r="D12" s="84"/>
      <c r="E12" s="84"/>
      <c r="F12" s="84"/>
      <c r="G12" s="84"/>
      <c r="H12" s="84"/>
      <c r="I12" s="84" t="s">
        <v>246</v>
      </c>
      <c r="J12" s="84"/>
      <c r="K12" s="84"/>
      <c r="L12" s="84" t="s">
        <v>245</v>
      </c>
      <c r="M12" s="84"/>
      <c r="N12" s="84"/>
      <c r="O12" s="84"/>
      <c r="P12" s="23" t="s">
        <v>244</v>
      </c>
      <c r="Q12" s="23" t="s">
        <v>243</v>
      </c>
      <c r="R12" s="111" t="s">
        <v>164</v>
      </c>
      <c r="S12" s="111">
        <v>30</v>
      </c>
      <c r="T12" s="111">
        <v>42</v>
      </c>
      <c r="U12" s="109">
        <f>140</f>
        <v>140</v>
      </c>
    </row>
    <row r="13" spans="1:22" ht="75" customHeight="1" thickTop="1" thickBot="1" x14ac:dyDescent="0.25">
      <c r="A13" s="21"/>
      <c r="B13" s="110" t="s">
        <v>36</v>
      </c>
      <c r="C13" s="84" t="s">
        <v>242</v>
      </c>
      <c r="D13" s="84"/>
      <c r="E13" s="84"/>
      <c r="F13" s="84"/>
      <c r="G13" s="84"/>
      <c r="H13" s="84"/>
      <c r="I13" s="84" t="s">
        <v>241</v>
      </c>
      <c r="J13" s="84"/>
      <c r="K13" s="84"/>
      <c r="L13" s="84" t="s">
        <v>240</v>
      </c>
      <c r="M13" s="84"/>
      <c r="N13" s="84"/>
      <c r="O13" s="84"/>
      <c r="P13" s="23" t="s">
        <v>32</v>
      </c>
      <c r="Q13" s="23" t="s">
        <v>38</v>
      </c>
      <c r="R13" s="111" t="s">
        <v>164</v>
      </c>
      <c r="S13" s="111">
        <v>100</v>
      </c>
      <c r="T13" s="111">
        <v>105.64</v>
      </c>
      <c r="U13" s="109">
        <f>105.64</f>
        <v>105.64</v>
      </c>
    </row>
    <row r="14" spans="1:22" ht="75" customHeight="1" thickTop="1" thickBot="1" x14ac:dyDescent="0.25">
      <c r="A14" s="21"/>
      <c r="B14" s="110" t="s">
        <v>37</v>
      </c>
      <c r="C14" s="84" t="s">
        <v>239</v>
      </c>
      <c r="D14" s="84"/>
      <c r="E14" s="84"/>
      <c r="F14" s="84"/>
      <c r="G14" s="84"/>
      <c r="H14" s="84"/>
      <c r="I14" s="84" t="s">
        <v>238</v>
      </c>
      <c r="J14" s="84"/>
      <c r="K14" s="84"/>
      <c r="L14" s="84" t="s">
        <v>237</v>
      </c>
      <c r="M14" s="84"/>
      <c r="N14" s="84"/>
      <c r="O14" s="84"/>
      <c r="P14" s="23" t="s">
        <v>32</v>
      </c>
      <c r="Q14" s="23" t="s">
        <v>38</v>
      </c>
      <c r="R14" s="111" t="s">
        <v>164</v>
      </c>
      <c r="S14" s="111">
        <v>97</v>
      </c>
      <c r="T14" s="111">
        <v>97.84</v>
      </c>
      <c r="U14" s="109">
        <f>100.86</f>
        <v>100.86</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17347.544405</f>
        <v>17347.544405000001</v>
      </c>
      <c r="T18" s="105">
        <f>14043.582661</f>
        <v>14043.582661</v>
      </c>
      <c r="U18" s="104">
        <f>+IF(ISERR(T18/S18*100),"N/A",ROUND(T18/S18*100,1))</f>
        <v>81</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14033.828288</f>
        <v>14033.828288000001</v>
      </c>
      <c r="T19" s="105">
        <f>14043.582661</f>
        <v>14043.582661</v>
      </c>
      <c r="U19" s="104">
        <f>+IF(ISERR(T19/S19*100),"N/A",ROUND(T19/S19*100,1))</f>
        <v>100.1</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44.25" customHeight="1" x14ac:dyDescent="0.2">
      <c r="B22" s="103" t="s">
        <v>236</v>
      </c>
      <c r="C22" s="86"/>
      <c r="D22" s="86"/>
      <c r="E22" s="86"/>
      <c r="F22" s="86"/>
      <c r="G22" s="86"/>
      <c r="H22" s="86"/>
      <c r="I22" s="86"/>
      <c r="J22" s="86"/>
      <c r="K22" s="86"/>
      <c r="L22" s="86"/>
      <c r="M22" s="86"/>
      <c r="N22" s="86"/>
      <c r="O22" s="86"/>
      <c r="P22" s="86"/>
      <c r="Q22" s="86"/>
      <c r="R22" s="86"/>
      <c r="S22" s="86"/>
      <c r="T22" s="86"/>
      <c r="U22" s="102"/>
    </row>
    <row r="23" spans="2:21" ht="48.6" customHeight="1" x14ac:dyDescent="0.2">
      <c r="B23" s="103" t="s">
        <v>235</v>
      </c>
      <c r="C23" s="86"/>
      <c r="D23" s="86"/>
      <c r="E23" s="86"/>
      <c r="F23" s="86"/>
      <c r="G23" s="86"/>
      <c r="H23" s="86"/>
      <c r="I23" s="86"/>
      <c r="J23" s="86"/>
      <c r="K23" s="86"/>
      <c r="L23" s="86"/>
      <c r="M23" s="86"/>
      <c r="N23" s="86"/>
      <c r="O23" s="86"/>
      <c r="P23" s="86"/>
      <c r="Q23" s="86"/>
      <c r="R23" s="86"/>
      <c r="S23" s="86"/>
      <c r="T23" s="86"/>
      <c r="U23" s="102"/>
    </row>
    <row r="24" spans="2:21" ht="30.75" customHeight="1" x14ac:dyDescent="0.2">
      <c r="B24" s="103" t="s">
        <v>234</v>
      </c>
      <c r="C24" s="86"/>
      <c r="D24" s="86"/>
      <c r="E24" s="86"/>
      <c r="F24" s="86"/>
      <c r="G24" s="86"/>
      <c r="H24" s="86"/>
      <c r="I24" s="86"/>
      <c r="J24" s="86"/>
      <c r="K24" s="86"/>
      <c r="L24" s="86"/>
      <c r="M24" s="86"/>
      <c r="N24" s="86"/>
      <c r="O24" s="86"/>
      <c r="P24" s="86"/>
      <c r="Q24" s="86"/>
      <c r="R24" s="86"/>
      <c r="S24" s="86"/>
      <c r="T24" s="86"/>
      <c r="U24" s="102"/>
    </row>
    <row r="25" spans="2:21" ht="28.5" customHeight="1" thickBot="1" x14ac:dyDescent="0.25">
      <c r="B25" s="101" t="s">
        <v>233</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V25"/>
  <sheetViews>
    <sheetView view="pageBreakPreview" zoomScale="80" zoomScaleNormal="80" zoomScaleSheetLayoutView="80" workbookViewId="0">
      <selection activeCell="B2" sqref="B2"/>
    </sheetView>
  </sheetViews>
  <sheetFormatPr baseColWidth="10" defaultColWidth="10" defaultRowHeight="12.75" x14ac:dyDescent="0.2"/>
  <cols>
    <col min="1" max="1" width="3.5" style="1" customWidth="1"/>
    <col min="2" max="2" width="13.75" style="1" customWidth="1"/>
    <col min="3" max="3" width="5.875" style="1" customWidth="1"/>
    <col min="4" max="4" width="8.625" style="1" customWidth="1"/>
    <col min="5" max="5" width="9.75" style="1" customWidth="1"/>
    <col min="6" max="6" width="4.5" style="1" customWidth="1"/>
    <col min="7" max="7" width="0.25" style="1" customWidth="1"/>
    <col min="8" max="8" width="2.25" style="1" customWidth="1"/>
    <col min="9" max="9" width="6.625" style="1" customWidth="1"/>
    <col min="10" max="10" width="7.875" style="1" customWidth="1"/>
    <col min="11" max="11" width="9.5" style="1" customWidth="1"/>
    <col min="12" max="12" width="7.75" style="1" customWidth="1"/>
    <col min="13" max="13" width="6.125" style="1" customWidth="1"/>
    <col min="14" max="14" width="8.25" style="1" customWidth="1"/>
    <col min="15" max="15" width="11.125" style="1" customWidth="1"/>
    <col min="16" max="16" width="11.625" style="1" customWidth="1"/>
    <col min="17" max="17" width="12.125" style="1" customWidth="1"/>
    <col min="18" max="18" width="9" style="1" customWidth="1"/>
    <col min="19" max="19" width="13" style="1" customWidth="1"/>
    <col min="20" max="20" width="10.75" style="1" customWidth="1"/>
    <col min="21" max="21" width="10.375" style="1" customWidth="1"/>
    <col min="22" max="22" width="11.5" style="1" customWidth="1"/>
    <col min="23" max="23" width="10.75" style="1" customWidth="1"/>
    <col min="24" max="24" width="8.5" style="1" customWidth="1"/>
    <col min="25" max="25" width="8.75" style="1" customWidth="1"/>
    <col min="26" max="26" width="9.625" style="1" customWidth="1"/>
    <col min="27" max="29" width="10" style="1"/>
    <col min="30" max="30" width="15.375" style="1" customWidth="1"/>
    <col min="31" max="16384" width="10" style="1"/>
  </cols>
  <sheetData>
    <row r="1" spans="1:22" s="2" customFormat="1" ht="48" customHeight="1" x14ac:dyDescent="0.2">
      <c r="B1" s="51" t="s">
        <v>0</v>
      </c>
      <c r="C1" s="51"/>
      <c r="D1" s="51"/>
      <c r="E1" s="51"/>
      <c r="F1" s="51"/>
      <c r="G1" s="51"/>
      <c r="H1" s="51"/>
      <c r="I1" s="51"/>
      <c r="J1" s="51"/>
      <c r="K1" s="51"/>
      <c r="L1" s="51"/>
      <c r="M1" s="3" t="s">
        <v>1</v>
      </c>
    </row>
    <row r="2" spans="1:22" ht="13.5" customHeight="1" thickBot="1" x14ac:dyDescent="0.25"/>
    <row r="3" spans="1:22" ht="13.5" customHeight="1" thickTop="1" thickBot="1" x14ac:dyDescent="0.25">
      <c r="B3" s="4" t="s">
        <v>4</v>
      </c>
      <c r="C3" s="5"/>
      <c r="D3" s="5"/>
      <c r="E3" s="5"/>
      <c r="F3" s="5"/>
      <c r="G3" s="5"/>
      <c r="H3" s="6"/>
      <c r="I3" s="6"/>
      <c r="J3" s="6"/>
      <c r="K3" s="6"/>
      <c r="L3" s="6"/>
      <c r="M3" s="6"/>
      <c r="N3" s="6"/>
      <c r="O3" s="6"/>
      <c r="P3" s="6"/>
      <c r="Q3" s="6"/>
      <c r="R3" s="6"/>
      <c r="S3" s="6"/>
      <c r="T3" s="6"/>
      <c r="U3" s="7"/>
    </row>
    <row r="4" spans="1:22" ht="51.75" customHeight="1" thickTop="1" x14ac:dyDescent="0.2">
      <c r="B4" s="8" t="s">
        <v>5</v>
      </c>
      <c r="C4" s="9" t="s">
        <v>275</v>
      </c>
      <c r="D4" s="58" t="s">
        <v>274</v>
      </c>
      <c r="E4" s="58"/>
      <c r="F4" s="58"/>
      <c r="G4" s="58"/>
      <c r="H4" s="58"/>
      <c r="I4" s="10"/>
      <c r="J4" s="11" t="s">
        <v>6</v>
      </c>
      <c r="K4" s="12" t="s">
        <v>7</v>
      </c>
      <c r="L4" s="59" t="s">
        <v>2</v>
      </c>
      <c r="M4" s="59"/>
      <c r="N4" s="59"/>
      <c r="O4" s="59"/>
      <c r="P4" s="11" t="s">
        <v>8</v>
      </c>
      <c r="Q4" s="59" t="s">
        <v>50</v>
      </c>
      <c r="R4" s="59"/>
      <c r="S4" s="11" t="s">
        <v>9</v>
      </c>
      <c r="T4" s="59" t="s">
        <v>211</v>
      </c>
      <c r="U4" s="60"/>
    </row>
    <row r="5" spans="1:22" ht="15.75" customHeight="1" x14ac:dyDescent="0.2">
      <c r="B5" s="55" t="s">
        <v>10</v>
      </c>
      <c r="C5" s="56"/>
      <c r="D5" s="56"/>
      <c r="E5" s="56"/>
      <c r="F5" s="56"/>
      <c r="G5" s="56"/>
      <c r="H5" s="56"/>
      <c r="I5" s="56"/>
      <c r="J5" s="56"/>
      <c r="K5" s="56"/>
      <c r="L5" s="56"/>
      <c r="M5" s="56"/>
      <c r="N5" s="56"/>
      <c r="O5" s="56"/>
      <c r="P5" s="56"/>
      <c r="Q5" s="56"/>
      <c r="R5" s="56"/>
      <c r="S5" s="56"/>
      <c r="T5" s="56"/>
      <c r="U5" s="57"/>
    </row>
    <row r="6" spans="1:22" ht="37.5" customHeight="1" thickBot="1" x14ac:dyDescent="0.25">
      <c r="B6" s="13" t="s">
        <v>11</v>
      </c>
      <c r="C6" s="61" t="s">
        <v>12</v>
      </c>
      <c r="D6" s="61"/>
      <c r="E6" s="61"/>
      <c r="F6" s="61"/>
      <c r="G6" s="61"/>
      <c r="H6" s="14"/>
      <c r="I6" s="14"/>
      <c r="J6" s="14" t="s">
        <v>13</v>
      </c>
      <c r="K6" s="61" t="s">
        <v>14</v>
      </c>
      <c r="L6" s="61"/>
      <c r="M6" s="61"/>
      <c r="N6" s="15"/>
      <c r="O6" s="16" t="s">
        <v>15</v>
      </c>
      <c r="P6" s="61" t="s">
        <v>51</v>
      </c>
      <c r="Q6" s="61"/>
      <c r="R6" s="17"/>
      <c r="S6" s="16" t="s">
        <v>16</v>
      </c>
      <c r="T6" s="61" t="s">
        <v>75</v>
      </c>
      <c r="U6" s="62"/>
    </row>
    <row r="7" spans="1:22" ht="14.25" customHeight="1" thickTop="1" thickBot="1" x14ac:dyDescent="0.25">
      <c r="B7" s="4" t="s">
        <v>17</v>
      </c>
      <c r="C7" s="5"/>
      <c r="D7" s="5"/>
      <c r="E7" s="5"/>
      <c r="F7" s="5"/>
      <c r="G7" s="5"/>
      <c r="H7" s="6"/>
      <c r="I7" s="6"/>
      <c r="J7" s="6"/>
      <c r="K7" s="6"/>
      <c r="L7" s="6"/>
      <c r="M7" s="6"/>
      <c r="N7" s="6"/>
      <c r="O7" s="6"/>
      <c r="P7" s="6"/>
      <c r="Q7" s="6"/>
      <c r="R7" s="6"/>
      <c r="S7" s="6"/>
      <c r="T7" s="6"/>
      <c r="U7" s="7"/>
    </row>
    <row r="8" spans="1:22" ht="16.5" customHeight="1" thickTop="1" x14ac:dyDescent="0.2">
      <c r="B8" s="120" t="s">
        <v>18</v>
      </c>
      <c r="C8" s="119" t="s">
        <v>19</v>
      </c>
      <c r="D8" s="119"/>
      <c r="E8" s="119"/>
      <c r="F8" s="119"/>
      <c r="G8" s="119"/>
      <c r="H8" s="118"/>
      <c r="I8" s="72" t="s">
        <v>20</v>
      </c>
      <c r="J8" s="73"/>
      <c r="K8" s="73"/>
      <c r="L8" s="73"/>
      <c r="M8" s="73"/>
      <c r="N8" s="73"/>
      <c r="O8" s="73"/>
      <c r="P8" s="73"/>
      <c r="Q8" s="73"/>
      <c r="R8" s="73"/>
      <c r="S8" s="74"/>
      <c r="T8" s="75" t="s">
        <v>21</v>
      </c>
      <c r="U8" s="76"/>
    </row>
    <row r="9" spans="1:22" ht="19.5" customHeight="1" x14ac:dyDescent="0.2">
      <c r="B9" s="117"/>
      <c r="C9" s="116"/>
      <c r="D9" s="116"/>
      <c r="E9" s="116"/>
      <c r="F9" s="116"/>
      <c r="G9" s="116"/>
      <c r="H9" s="115"/>
      <c r="I9" s="77" t="s">
        <v>22</v>
      </c>
      <c r="J9" s="66"/>
      <c r="K9" s="66"/>
      <c r="L9" s="66" t="s">
        <v>23</v>
      </c>
      <c r="M9" s="66"/>
      <c r="N9" s="66"/>
      <c r="O9" s="66"/>
      <c r="P9" s="66" t="s">
        <v>24</v>
      </c>
      <c r="Q9" s="66" t="s">
        <v>25</v>
      </c>
      <c r="R9" s="80" t="s">
        <v>26</v>
      </c>
      <c r="S9" s="81"/>
      <c r="T9" s="66" t="s">
        <v>27</v>
      </c>
      <c r="U9" s="82" t="s">
        <v>28</v>
      </c>
    </row>
    <row r="10" spans="1:22" ht="26.25" customHeight="1" thickBot="1" x14ac:dyDescent="0.25">
      <c r="B10" s="114"/>
      <c r="C10" s="113"/>
      <c r="D10" s="113"/>
      <c r="E10" s="113"/>
      <c r="F10" s="113"/>
      <c r="G10" s="113"/>
      <c r="H10" s="112"/>
      <c r="I10" s="78"/>
      <c r="J10" s="79"/>
      <c r="K10" s="79"/>
      <c r="L10" s="79"/>
      <c r="M10" s="79"/>
      <c r="N10" s="79"/>
      <c r="O10" s="79"/>
      <c r="P10" s="79"/>
      <c r="Q10" s="79"/>
      <c r="R10" s="50" t="s">
        <v>29</v>
      </c>
      <c r="S10" s="20" t="s">
        <v>30</v>
      </c>
      <c r="T10" s="79"/>
      <c r="U10" s="83"/>
    </row>
    <row r="11" spans="1:22" ht="75" customHeight="1" thickTop="1" thickBot="1" x14ac:dyDescent="0.25">
      <c r="A11" s="21"/>
      <c r="B11" s="110" t="s">
        <v>31</v>
      </c>
      <c r="C11" s="84" t="s">
        <v>273</v>
      </c>
      <c r="D11" s="84"/>
      <c r="E11" s="84"/>
      <c r="F11" s="84"/>
      <c r="G11" s="84"/>
      <c r="H11" s="84"/>
      <c r="I11" s="84" t="s">
        <v>272</v>
      </c>
      <c r="J11" s="84"/>
      <c r="K11" s="84"/>
      <c r="L11" s="84" t="s">
        <v>271</v>
      </c>
      <c r="M11" s="84"/>
      <c r="N11" s="84"/>
      <c r="O11" s="84"/>
      <c r="P11" s="23" t="s">
        <v>79</v>
      </c>
      <c r="Q11" s="23" t="s">
        <v>60</v>
      </c>
      <c r="R11" s="111">
        <v>0.35</v>
      </c>
      <c r="S11" s="111">
        <v>0.35</v>
      </c>
      <c r="T11" s="111">
        <v>0.14000000000000001</v>
      </c>
      <c r="U11" s="109">
        <f>161.14</f>
        <v>161.13999999999999</v>
      </c>
    </row>
    <row r="12" spans="1:22" ht="75" customHeight="1" thickTop="1" thickBot="1" x14ac:dyDescent="0.25">
      <c r="A12" s="21"/>
      <c r="B12" s="110" t="s">
        <v>34</v>
      </c>
      <c r="C12" s="84" t="s">
        <v>270</v>
      </c>
      <c r="D12" s="84"/>
      <c r="E12" s="84"/>
      <c r="F12" s="84"/>
      <c r="G12" s="84"/>
      <c r="H12" s="84"/>
      <c r="I12" s="84" t="s">
        <v>269</v>
      </c>
      <c r="J12" s="84"/>
      <c r="K12" s="84"/>
      <c r="L12" s="84" t="s">
        <v>268</v>
      </c>
      <c r="M12" s="84"/>
      <c r="N12" s="84"/>
      <c r="O12" s="84"/>
      <c r="P12" s="23" t="s">
        <v>267</v>
      </c>
      <c r="Q12" s="23" t="s">
        <v>266</v>
      </c>
      <c r="R12" s="111" t="s">
        <v>164</v>
      </c>
      <c r="S12" s="111">
        <v>2.6</v>
      </c>
      <c r="T12" s="111">
        <v>0.02</v>
      </c>
      <c r="U12" s="109">
        <f>199.13</f>
        <v>199.13</v>
      </c>
    </row>
    <row r="13" spans="1:22" ht="75" customHeight="1" thickTop="1" thickBot="1" x14ac:dyDescent="0.25">
      <c r="A13" s="21"/>
      <c r="B13" s="110" t="s">
        <v>36</v>
      </c>
      <c r="C13" s="84" t="s">
        <v>265</v>
      </c>
      <c r="D13" s="84"/>
      <c r="E13" s="84"/>
      <c r="F13" s="84"/>
      <c r="G13" s="84"/>
      <c r="H13" s="84"/>
      <c r="I13" s="84" t="s">
        <v>264</v>
      </c>
      <c r="J13" s="84"/>
      <c r="K13" s="84"/>
      <c r="L13" s="84" t="s">
        <v>263</v>
      </c>
      <c r="M13" s="84"/>
      <c r="N13" s="84"/>
      <c r="O13" s="84"/>
      <c r="P13" s="23" t="s">
        <v>262</v>
      </c>
      <c r="Q13" s="23" t="s">
        <v>261</v>
      </c>
      <c r="R13" s="111">
        <v>0.15</v>
      </c>
      <c r="S13" s="111">
        <v>0.15</v>
      </c>
      <c r="T13" s="111">
        <v>0.03</v>
      </c>
      <c r="U13" s="109">
        <f>180.6</f>
        <v>180.6</v>
      </c>
    </row>
    <row r="14" spans="1:22" ht="75" customHeight="1" thickTop="1" thickBot="1" x14ac:dyDescent="0.25">
      <c r="A14" s="21"/>
      <c r="B14" s="110" t="s">
        <v>37</v>
      </c>
      <c r="C14" s="84" t="s">
        <v>260</v>
      </c>
      <c r="D14" s="84"/>
      <c r="E14" s="84"/>
      <c r="F14" s="84"/>
      <c r="G14" s="84"/>
      <c r="H14" s="84"/>
      <c r="I14" s="84" t="s">
        <v>259</v>
      </c>
      <c r="J14" s="84"/>
      <c r="K14" s="84"/>
      <c r="L14" s="84" t="s">
        <v>258</v>
      </c>
      <c r="M14" s="84"/>
      <c r="N14" s="84"/>
      <c r="O14" s="84"/>
      <c r="P14" s="23" t="s">
        <v>257</v>
      </c>
      <c r="Q14" s="23" t="s">
        <v>64</v>
      </c>
      <c r="R14" s="111" t="s">
        <v>164</v>
      </c>
      <c r="S14" s="111">
        <v>30</v>
      </c>
      <c r="T14" s="111">
        <v>29</v>
      </c>
      <c r="U14" s="109">
        <f>103.33</f>
        <v>103.33</v>
      </c>
    </row>
    <row r="15" spans="1:22" ht="14.25" customHeight="1" thickTop="1" thickBot="1" x14ac:dyDescent="0.25">
      <c r="B15" s="4" t="s">
        <v>39</v>
      </c>
      <c r="C15" s="5"/>
      <c r="D15" s="5"/>
      <c r="E15" s="5"/>
      <c r="F15" s="5"/>
      <c r="G15" s="5"/>
      <c r="H15" s="6"/>
      <c r="I15" s="6"/>
      <c r="J15" s="6"/>
      <c r="K15" s="6"/>
      <c r="L15" s="6"/>
      <c r="M15" s="6"/>
      <c r="N15" s="6"/>
      <c r="O15" s="6"/>
      <c r="P15" s="6"/>
      <c r="Q15" s="6"/>
      <c r="R15" s="6"/>
      <c r="S15" s="6"/>
      <c r="T15" s="6"/>
      <c r="U15" s="7"/>
      <c r="V15" s="27"/>
    </row>
    <row r="16" spans="1:22" ht="26.25" customHeight="1" thickTop="1" x14ac:dyDescent="0.2">
      <c r="B16" s="28"/>
      <c r="C16" s="29"/>
      <c r="D16" s="29"/>
      <c r="E16" s="29"/>
      <c r="F16" s="29"/>
      <c r="G16" s="29"/>
      <c r="H16" s="30"/>
      <c r="I16" s="30"/>
      <c r="J16" s="30"/>
      <c r="K16" s="30"/>
      <c r="L16" s="30"/>
      <c r="M16" s="30"/>
      <c r="N16" s="30"/>
      <c r="O16" s="30"/>
      <c r="P16" s="30"/>
      <c r="Q16" s="30"/>
      <c r="R16" s="31"/>
      <c r="S16" s="49" t="s">
        <v>26</v>
      </c>
      <c r="T16" s="49" t="s">
        <v>40</v>
      </c>
      <c r="U16" s="18" t="s">
        <v>41</v>
      </c>
    </row>
    <row r="17" spans="2:21" ht="26.25" customHeight="1" thickBot="1" x14ac:dyDescent="0.25">
      <c r="B17" s="33"/>
      <c r="C17" s="34"/>
      <c r="D17" s="34"/>
      <c r="E17" s="34"/>
      <c r="F17" s="34"/>
      <c r="G17" s="34"/>
      <c r="H17" s="35"/>
      <c r="I17" s="35"/>
      <c r="J17" s="35"/>
      <c r="K17" s="35"/>
      <c r="L17" s="35"/>
      <c r="M17" s="35"/>
      <c r="N17" s="35"/>
      <c r="O17" s="35"/>
      <c r="P17" s="35"/>
      <c r="Q17" s="35"/>
      <c r="R17" s="35"/>
      <c r="S17" s="36" t="s">
        <v>42</v>
      </c>
      <c r="T17" s="37" t="s">
        <v>42</v>
      </c>
      <c r="U17" s="37" t="s">
        <v>43</v>
      </c>
    </row>
    <row r="18" spans="2:21" ht="13.5" customHeight="1" thickBot="1" x14ac:dyDescent="0.25">
      <c r="B18" s="91" t="s">
        <v>44</v>
      </c>
      <c r="C18" s="92"/>
      <c r="D18" s="92"/>
      <c r="E18" s="47"/>
      <c r="F18" s="47"/>
      <c r="G18" s="47"/>
      <c r="H18" s="39"/>
      <c r="I18" s="39"/>
      <c r="J18" s="39"/>
      <c r="K18" s="39"/>
      <c r="L18" s="39"/>
      <c r="M18" s="39"/>
      <c r="N18" s="39"/>
      <c r="O18" s="39"/>
      <c r="P18" s="40"/>
      <c r="Q18" s="40"/>
      <c r="R18" s="40"/>
      <c r="S18" s="105">
        <f>3712.857102</f>
        <v>3712.8571019999999</v>
      </c>
      <c r="T18" s="105">
        <f>4384.230202</f>
        <v>4384.2302019999997</v>
      </c>
      <c r="U18" s="104">
        <f>+IF(ISERR(T18/S18*100),"N/A",ROUND(T18/S18*100,1))</f>
        <v>118.1</v>
      </c>
    </row>
    <row r="19" spans="2:21" ht="13.5" customHeight="1" thickBot="1" x14ac:dyDescent="0.25">
      <c r="B19" s="93" t="s">
        <v>45</v>
      </c>
      <c r="C19" s="94"/>
      <c r="D19" s="94"/>
      <c r="E19" s="48"/>
      <c r="F19" s="48"/>
      <c r="G19" s="48"/>
      <c r="H19" s="42"/>
      <c r="I19" s="42"/>
      <c r="J19" s="42"/>
      <c r="K19" s="42"/>
      <c r="L19" s="42"/>
      <c r="M19" s="42"/>
      <c r="N19" s="42"/>
      <c r="O19" s="42"/>
      <c r="P19" s="43"/>
      <c r="Q19" s="43"/>
      <c r="R19" s="43"/>
      <c r="S19" s="105">
        <f>4339.102742</f>
        <v>4339.102742</v>
      </c>
      <c r="T19" s="105">
        <f>4384.230202</f>
        <v>4384.2302019999997</v>
      </c>
      <c r="U19" s="104">
        <f>+IF(ISERR(T19/S19*100),"N/A",ROUND(T19/S19*100,1))</f>
        <v>101</v>
      </c>
    </row>
    <row r="20" spans="2:21" ht="14.85" customHeight="1" thickTop="1" thickBot="1" x14ac:dyDescent="0.25">
      <c r="B20" s="4" t="s">
        <v>46</v>
      </c>
      <c r="C20" s="5"/>
      <c r="D20" s="5"/>
      <c r="E20" s="5"/>
      <c r="F20" s="5"/>
      <c r="G20" s="5"/>
      <c r="H20" s="6"/>
      <c r="I20" s="6"/>
      <c r="J20" s="6"/>
      <c r="K20" s="6"/>
      <c r="L20" s="6"/>
      <c r="M20" s="6"/>
      <c r="N20" s="6"/>
      <c r="O20" s="6"/>
      <c r="P20" s="6"/>
      <c r="Q20" s="6"/>
      <c r="R20" s="6"/>
      <c r="S20" s="6"/>
      <c r="T20" s="6"/>
      <c r="U20" s="7"/>
    </row>
    <row r="21" spans="2:21" ht="44.25" customHeight="1" thickTop="1" x14ac:dyDescent="0.2">
      <c r="B21" s="95" t="s">
        <v>47</v>
      </c>
      <c r="C21" s="96"/>
      <c r="D21" s="96"/>
      <c r="E21" s="96"/>
      <c r="F21" s="96"/>
      <c r="G21" s="96"/>
      <c r="H21" s="96"/>
      <c r="I21" s="96"/>
      <c r="J21" s="96"/>
      <c r="K21" s="96"/>
      <c r="L21" s="96"/>
      <c r="M21" s="96"/>
      <c r="N21" s="96"/>
      <c r="O21" s="96"/>
      <c r="P21" s="96"/>
      <c r="Q21" s="96"/>
      <c r="R21" s="96"/>
      <c r="S21" s="96"/>
      <c r="T21" s="96"/>
      <c r="U21" s="97"/>
    </row>
    <row r="22" spans="2:21" ht="93.95" customHeight="1" x14ac:dyDescent="0.2">
      <c r="B22" s="103" t="s">
        <v>256</v>
      </c>
      <c r="C22" s="86"/>
      <c r="D22" s="86"/>
      <c r="E22" s="86"/>
      <c r="F22" s="86"/>
      <c r="G22" s="86"/>
      <c r="H22" s="86"/>
      <c r="I22" s="86"/>
      <c r="J22" s="86"/>
      <c r="K22" s="86"/>
      <c r="L22" s="86"/>
      <c r="M22" s="86"/>
      <c r="N22" s="86"/>
      <c r="O22" s="86"/>
      <c r="P22" s="86"/>
      <c r="Q22" s="86"/>
      <c r="R22" s="86"/>
      <c r="S22" s="86"/>
      <c r="T22" s="86"/>
      <c r="U22" s="102"/>
    </row>
    <row r="23" spans="2:21" ht="81" customHeight="1" x14ac:dyDescent="0.2">
      <c r="B23" s="103" t="s">
        <v>255</v>
      </c>
      <c r="C23" s="86"/>
      <c r="D23" s="86"/>
      <c r="E23" s="86"/>
      <c r="F23" s="86"/>
      <c r="G23" s="86"/>
      <c r="H23" s="86"/>
      <c r="I23" s="86"/>
      <c r="J23" s="86"/>
      <c r="K23" s="86"/>
      <c r="L23" s="86"/>
      <c r="M23" s="86"/>
      <c r="N23" s="86"/>
      <c r="O23" s="86"/>
      <c r="P23" s="86"/>
      <c r="Q23" s="86"/>
      <c r="R23" s="86"/>
      <c r="S23" s="86"/>
      <c r="T23" s="86"/>
      <c r="U23" s="102"/>
    </row>
    <row r="24" spans="2:21" ht="30" customHeight="1" x14ac:dyDescent="0.2">
      <c r="B24" s="103" t="s">
        <v>254</v>
      </c>
      <c r="C24" s="86"/>
      <c r="D24" s="86"/>
      <c r="E24" s="86"/>
      <c r="F24" s="86"/>
      <c r="G24" s="86"/>
      <c r="H24" s="86"/>
      <c r="I24" s="86"/>
      <c r="J24" s="86"/>
      <c r="K24" s="86"/>
      <c r="L24" s="86"/>
      <c r="M24" s="86"/>
      <c r="N24" s="86"/>
      <c r="O24" s="86"/>
      <c r="P24" s="86"/>
      <c r="Q24" s="86"/>
      <c r="R24" s="86"/>
      <c r="S24" s="86"/>
      <c r="T24" s="86"/>
      <c r="U24" s="102"/>
    </row>
    <row r="25" spans="2:21" ht="60.2" customHeight="1" thickBot="1" x14ac:dyDescent="0.25">
      <c r="B25" s="101" t="s">
        <v>253</v>
      </c>
      <c r="C25" s="100"/>
      <c r="D25" s="100"/>
      <c r="E25" s="100"/>
      <c r="F25" s="100"/>
      <c r="G25" s="100"/>
      <c r="H25" s="100"/>
      <c r="I25" s="100"/>
      <c r="J25" s="100"/>
      <c r="K25" s="100"/>
      <c r="L25" s="100"/>
      <c r="M25" s="100"/>
      <c r="N25" s="100"/>
      <c r="O25" s="100"/>
      <c r="P25" s="100"/>
      <c r="Q25" s="100"/>
      <c r="R25" s="100"/>
      <c r="S25" s="100"/>
      <c r="T25" s="100"/>
      <c r="U25" s="99"/>
    </row>
  </sheetData>
  <mergeCells count="40">
    <mergeCell ref="B1:L1"/>
    <mergeCell ref="D4:H4"/>
    <mergeCell ref="L4:O4"/>
    <mergeCell ref="Q4:R4"/>
    <mergeCell ref="T4:U4"/>
    <mergeCell ref="B5:U5"/>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C11:H11"/>
    <mergeCell ref="I11:K11"/>
    <mergeCell ref="L11:O11"/>
    <mergeCell ref="C12:H12"/>
    <mergeCell ref="I12:K12"/>
    <mergeCell ref="L12:O12"/>
    <mergeCell ref="C13:H13"/>
    <mergeCell ref="I13:K13"/>
    <mergeCell ref="L13:O13"/>
    <mergeCell ref="B22:U22"/>
    <mergeCell ref="B23:U23"/>
    <mergeCell ref="B24:U24"/>
    <mergeCell ref="B25:U25"/>
    <mergeCell ref="C14:H14"/>
    <mergeCell ref="I14:K14"/>
    <mergeCell ref="L14:O14"/>
    <mergeCell ref="B18:D18"/>
    <mergeCell ref="B19:D19"/>
    <mergeCell ref="B21:U21"/>
  </mergeCells>
  <printOptions horizontalCentered="1"/>
  <pageMargins left="0.78740157480314965" right="0.78740157480314965" top="0.98425196850393704" bottom="0.98425196850393704" header="0" footer="0.39370078740157483"/>
  <pageSetup scale="61"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Portada</vt:lpstr>
      <vt:lpstr>18 E561</vt:lpstr>
      <vt:lpstr>18 E567</vt:lpstr>
      <vt:lpstr>18 E570</vt:lpstr>
      <vt:lpstr>18 K044</vt:lpstr>
      <vt:lpstr>18 E555</vt:lpstr>
      <vt:lpstr>18 E562</vt:lpstr>
      <vt:lpstr>18 E563</vt:lpstr>
      <vt:lpstr>18 E568</vt:lpstr>
      <vt:lpstr>18 E578</vt:lpstr>
      <vt:lpstr>18 F571</vt:lpstr>
      <vt:lpstr>18 K001</vt:lpstr>
      <vt:lpstr>18 K014</vt:lpstr>
      <vt:lpstr>18 K027</vt:lpstr>
      <vt:lpstr>18 K029</vt:lpstr>
      <vt:lpstr>18 P552</vt:lpstr>
      <vt:lpstr>18 P553</vt:lpstr>
      <vt:lpstr>'18 E555'!Área_de_impresión</vt:lpstr>
      <vt:lpstr>'18 E561'!Área_de_impresión</vt:lpstr>
      <vt:lpstr>'18 E562'!Área_de_impresión</vt:lpstr>
      <vt:lpstr>'18 E563'!Área_de_impresión</vt:lpstr>
      <vt:lpstr>'18 E567'!Área_de_impresión</vt:lpstr>
      <vt:lpstr>'18 E568'!Área_de_impresión</vt:lpstr>
      <vt:lpstr>'18 E570'!Área_de_impresión</vt:lpstr>
      <vt:lpstr>'18 E578'!Área_de_impresión</vt:lpstr>
      <vt:lpstr>'18 F571'!Área_de_impresión</vt:lpstr>
      <vt:lpstr>'18 K001'!Área_de_impresión</vt:lpstr>
      <vt:lpstr>'18 K014'!Área_de_impresión</vt:lpstr>
      <vt:lpstr>'18 K027'!Área_de_impresión</vt:lpstr>
      <vt:lpstr>'18 K029'!Área_de_impresión</vt:lpstr>
      <vt:lpstr>'18 K044'!Área_de_impresión</vt:lpstr>
      <vt:lpstr>'18 P552'!Área_de_impresión</vt:lpstr>
      <vt:lpstr>'18 P553'!Área_de_impresión</vt:lpstr>
      <vt:lpstr>Portada!Área_de_impresión</vt:lpstr>
      <vt:lpstr>'18 E555'!Títulos_a_imprimir</vt:lpstr>
      <vt:lpstr>'18 E561'!Títulos_a_imprimir</vt:lpstr>
      <vt:lpstr>'18 E562'!Títulos_a_imprimir</vt:lpstr>
      <vt:lpstr>'18 E563'!Títulos_a_imprimir</vt:lpstr>
      <vt:lpstr>'18 E567'!Títulos_a_imprimir</vt:lpstr>
      <vt:lpstr>'18 E568'!Títulos_a_imprimir</vt:lpstr>
      <vt:lpstr>'18 E570'!Títulos_a_imprimir</vt:lpstr>
      <vt:lpstr>'18 E578'!Títulos_a_imprimir</vt:lpstr>
      <vt:lpstr>'18 F571'!Títulos_a_imprimir</vt:lpstr>
      <vt:lpstr>'18 K001'!Títulos_a_imprimir</vt:lpstr>
      <vt:lpstr>'18 K014'!Títulos_a_imprimir</vt:lpstr>
      <vt:lpstr>'18 K027'!Títulos_a_imprimir</vt:lpstr>
      <vt:lpstr>'18 K029'!Títulos_a_imprimir</vt:lpstr>
      <vt:lpstr>'18 K044'!Títulos_a_imprimir</vt:lpstr>
      <vt:lpstr>'18 P552'!Títulos_a_imprimir</vt:lpstr>
      <vt:lpstr>'18 P553'!Títulos_a_imprimir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abelardo_salazar</cp:lastModifiedBy>
  <cp:lastPrinted>2009-03-26T01:46:20Z</cp:lastPrinted>
  <dcterms:created xsi:type="dcterms:W3CDTF">2009-03-25T01:44:41Z</dcterms:created>
  <dcterms:modified xsi:type="dcterms:W3CDTF">2014-04-03T20:29:14Z</dcterms:modified>
</cp:coreProperties>
</file>